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9405" windowHeight="98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<sst xmlns="http://schemas.openxmlformats.org/spreadsheetml/2006/main" count="50" uniqueCount="50">
  <si>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Calculation of off-axis illumination and magnitude drop.</t>
  </si>
  <si>
    <t xml:space="preserve">    C</t>
  </si>
  <si>
    <t>Intermediate calculations</t>
  </si>
  <si>
    <t>Illumination</t>
  </si>
  <si>
    <t xml:space="preserve">percentage </t>
  </si>
  <si>
    <t xml:space="preserve">drop in </t>
  </si>
  <si>
    <t>magnitude</t>
  </si>
  <si>
    <t>off axis radius</t>
  </si>
  <si>
    <t>specifications</t>
  </si>
  <si>
    <t>telescope</t>
  </si>
  <si>
    <t xml:space="preserve">only the figures in the </t>
  </si>
  <si>
    <t>green cells can be changed</t>
  </si>
  <si>
    <t xml:space="preserve">           A</t>
  </si>
  <si>
    <t xml:space="preserve">      X</t>
  </si>
  <si>
    <t xml:space="preserve">      R</t>
  </si>
  <si>
    <t>Jan van Gastel</t>
  </si>
  <si>
    <t>Total FOV with this eyepiece has radius:</t>
  </si>
  <si>
    <t>secondary offset:</t>
  </si>
  <si>
    <t>sagitta</t>
  </si>
  <si>
    <t>secondary cage</t>
  </si>
  <si>
    <t>primary mirror spot</t>
  </si>
  <si>
    <t>Focal length eyepiece (millimeters)</t>
  </si>
  <si>
    <r>
      <t>For visual use illumination may drop to</t>
    </r>
    <r>
      <rPr>
        <b/>
        <sz val="10"/>
        <color indexed="12"/>
        <rFont val="Arial"/>
        <family val="2"/>
      </rPr>
      <t xml:space="preserve"> 70%</t>
    </r>
    <r>
      <rPr>
        <b/>
        <sz val="10"/>
        <color indexed="10"/>
        <rFont val="Arial"/>
        <family val="2"/>
      </rPr>
      <t xml:space="preserve"> at the edge of the FOV,</t>
    </r>
  </si>
  <si>
    <t>URL: http://members.ziggo.nl/jhm.vangastel/Astronomy/</t>
  </si>
  <si>
    <t>Email: jhm.vangastel@ziggo.nl</t>
  </si>
  <si>
    <r>
      <t>(max. FOV for 1.25" eyepiece is</t>
    </r>
    <r>
      <rPr>
        <b/>
        <sz val="10"/>
        <color indexed="12"/>
        <rFont val="Arial"/>
        <family val="2"/>
      </rPr>
      <t xml:space="preserve"> 0.55</t>
    </r>
    <r>
      <rPr>
        <b/>
        <sz val="10"/>
        <color indexed="10"/>
        <rFont val="Arial"/>
        <family val="2"/>
      </rPr>
      <t xml:space="preserve"> inch, for 2" eyepiece </t>
    </r>
    <r>
      <rPr>
        <b/>
        <sz val="10"/>
        <color indexed="12"/>
        <rFont val="Arial"/>
        <family val="2"/>
      </rPr>
      <t>0.92</t>
    </r>
    <r>
      <rPr>
        <b/>
        <sz val="10"/>
        <color indexed="10"/>
        <rFont val="Arial"/>
        <family val="2"/>
      </rPr>
      <t xml:space="preserve"> inch radius)</t>
    </r>
  </si>
  <si>
    <t xml:space="preserve">   away from focuser (inch)</t>
  </si>
  <si>
    <t xml:space="preserve">   or parallel to secondary holder (inch)</t>
  </si>
  <si>
    <t>Minor axis of secondary (inch)</t>
  </si>
  <si>
    <t>Focal length of primary (inch)</t>
  </si>
  <si>
    <t>Secondary to focal plane (inch)</t>
  </si>
  <si>
    <t>Primary diameter (inch)</t>
  </si>
  <si>
    <t>Eyepiece diameter (inch)</t>
  </si>
  <si>
    <t>Diameter of FOV (inch)</t>
  </si>
  <si>
    <t>Diameter of fully illuminated field (inch)</t>
  </si>
  <si>
    <t>Apparent field eyepiece (degree)</t>
  </si>
  <si>
    <t>Diameter of FOV (degree)</t>
  </si>
  <si>
    <t>Diameter of fully illuminated field (degree)</t>
  </si>
  <si>
    <t>which corresponds with a magnitude drop of about 0.35 magnitudes.</t>
  </si>
  <si>
    <t>(in inches)</t>
  </si>
  <si>
    <t>Sagitta</t>
  </si>
  <si>
    <t xml:space="preserve">   Optimum diameter secondary cage (inch)</t>
  </si>
  <si>
    <t xml:space="preserve">   Absolute minimum diameter secondary cage (inch)</t>
  </si>
  <si>
    <t xml:space="preserve">   Max. diameter primary mirror spot (inch)</t>
  </si>
  <si>
    <t xml:space="preserve">   Sagitta of primary mirror (inch)</t>
  </si>
  <si>
    <t xml:space="preserve">   Distance primary-secondary mirror (inch)</t>
  </si>
  <si>
    <t xml:space="preserve">inch </t>
  </si>
  <si>
    <t>input values</t>
  </si>
  <si>
    <t>output values</t>
  </si>
  <si>
    <t xml:space="preserve">   Exit pupil (inch)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</si>
</sst>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"/>
  </numFmts>
  <fonts count="10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0" fillId="2" borderId="0" xfId="0" applyFill="1" applyAlignment="1">
      <alignment/>
    </xf>
    <xf numFmtId="2" fontId="7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2" fontId="0" fillId="2" borderId="0" xfId="0" applyNumberFormat="1" applyFill="1" applyAlignment="1">
      <alignment/>
    </xf>
    <xf numFmtId="0" fontId="0" fillId="4" borderId="0" xfId="0" applyFill="1" applyAlignment="1">
      <alignment/>
    </xf>
    <xf numFmtId="2" fontId="5" fillId="0" borderId="0" xfId="0" applyNumberFormat="1" applyFont="1" applyAlignment="1" applyProtection="1">
      <alignment horizontal="center"/>
      <protection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Percentage off-axis illumination</a:t>
            </a:r>
          </a:p>
        </c:rich>
      </c:tx>
      <c:layout>
        <c:manualLayout>
          <c:xMode val="factor"/>
          <c:yMode val="factor"/>
          <c:x val="0.009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825"/>
          <c:w val="0.7922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v>% illumination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Blad1!$F$6:$F$16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Blad1!$H$6:$H$16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99.5193809654164</c:v>
                </c:pt>
                <c:pt idx="4">
                  <c:v>97.67237939730047</c:v>
                </c:pt>
                <c:pt idx="5">
                  <c:v>95.43629827734205</c:v>
                </c:pt>
                <c:pt idx="6">
                  <c:v>93.03481999389368</c:v>
                </c:pt>
                <c:pt idx="7">
                  <c:v>90.54750219244076</c:v>
                </c:pt>
                <c:pt idx="8">
                  <c:v>88.01161341603594</c:v>
                </c:pt>
                <c:pt idx="9">
                  <c:v>85.44747524328912</c:v>
                </c:pt>
                <c:pt idx="10">
                  <c:v>82.86740736041946</c:v>
                </c:pt>
              </c:numCache>
            </c:numRef>
          </c:val>
        </c:ser>
        <c:axId val="7404704"/>
        <c:axId val="66642337"/>
      </c:barChart>
      <c:catAx>
        <c:axId val="740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off axis radius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7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Magnitude drop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off-axis illumination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Blad1!$F$6:$F$16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Blad1!$J$6:$J$16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0.0052308351535366995</c:v>
                </c:pt>
                <c:pt idx="4">
                  <c:v>0.025570580756015558</c:v>
                </c:pt>
                <c:pt idx="5">
                  <c:v>0.05071603537544465</c:v>
                </c:pt>
                <c:pt idx="6">
                  <c:v>0.07838619579293538</c:v>
                </c:pt>
                <c:pt idx="7">
                  <c:v>0.10780881365095007</c:v>
                </c:pt>
                <c:pt idx="8">
                  <c:v>0.13865004378016435</c:v>
                </c:pt>
                <c:pt idx="9">
                  <c:v>0.17075191264210005</c:v>
                </c:pt>
                <c:pt idx="10">
                  <c:v>0.20404062135572734</c:v>
                </c:pt>
              </c:numCache>
            </c:numRef>
          </c:val>
        </c:ser>
        <c:axId val="62910122"/>
        <c:axId val="29320187"/>
      </c:barChart>
      <c:catAx>
        <c:axId val="6291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off-axis radius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20187"/>
        <c:crosses val="autoZero"/>
        <c:auto val="1"/>
        <c:lblOffset val="100"/>
        <c:noMultiLvlLbl val="0"/>
      </c:catAx>
      <c:valAx>
        <c:axId val="29320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57150</xdr:rowOff>
    </xdr:from>
    <xdr:to>
      <xdr:col>11</xdr:col>
      <xdr:colOff>438150</xdr:colOff>
      <xdr:row>18</xdr:row>
      <xdr:rowOff>19050</xdr:rowOff>
    </xdr:to>
    <xdr:graphicFrame>
      <xdr:nvGraphicFramePr>
        <xdr:cNvPr id="1" name="Chart 7"/>
        <xdr:cNvGraphicFramePr/>
      </xdr:nvGraphicFramePr>
      <xdr:xfrm>
        <a:off x="4600575" y="447675"/>
        <a:ext cx="49911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76200</xdr:rowOff>
    </xdr:from>
    <xdr:to>
      <xdr:col>11</xdr:col>
      <xdr:colOff>447675</xdr:colOff>
      <xdr:row>32</xdr:row>
      <xdr:rowOff>9525</xdr:rowOff>
    </xdr:to>
    <xdr:graphicFrame>
      <xdr:nvGraphicFramePr>
        <xdr:cNvPr id="2" name="Chart 8"/>
        <xdr:cNvGraphicFramePr/>
      </xdr:nvGraphicFramePr>
      <xdr:xfrm>
        <a:off x="4600575" y="2895600"/>
        <a:ext cx="5000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11.57421875" style="0" bestFit="1" customWidth="1"/>
    <col min="2" max="2" width="32.7109375" style="0" customWidth="1"/>
    <col min="3" max="3" width="13.421875" style="0" customWidth="1"/>
    <col min="4" max="4" width="15.7109375" style="0" hidden="1" customWidth="1"/>
    <col min="5" max="5" width="11.28125" style="0" customWidth="1"/>
    <col min="6" max="6" width="13.00390625" style="0" customWidth="1"/>
    <col min="7" max="7" width="16.421875" style="0" customWidth="1"/>
    <col min="8" max="8" width="10.28125" style="0" customWidth="1"/>
    <col min="10" max="10" width="10.2812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  <c r="P1" s="1"/>
      <c r="Q1" s="1"/>
    </row>
    <row r="2" spans="1:17" ht="18">
      <c r="A2" s="4" t="s">
        <v>0</v>
      </c>
      <c r="B2" s="4"/>
      <c r="C2" s="4"/>
      <c r="D2" s="4"/>
      <c r="E2" s="4"/>
      <c r="F2" s="5"/>
      <c r="G2" s="3"/>
      <c r="H2" s="3"/>
      <c r="I2" s="3"/>
      <c r="J2" s="3"/>
      <c r="K2" s="3"/>
      <c r="L2" s="3"/>
      <c r="M2" s="3"/>
      <c r="N2" s="1"/>
      <c r="O2" s="1"/>
      <c r="P2" s="1"/>
      <c r="Q2" s="1"/>
    </row>
    <row r="3" spans="1:17" ht="12.75">
      <c r="A3" s="6" t="s">
        <v>10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</row>
    <row r="4" spans="1:17" ht="12.75">
      <c r="A4" s="6" t="s">
        <v>11</v>
      </c>
      <c r="B4" s="6"/>
      <c r="D4" s="7" t="s">
        <v>9</v>
      </c>
      <c r="E4" s="3"/>
      <c r="F4" s="7" t="s">
        <v>7</v>
      </c>
      <c r="G4" s="3"/>
      <c r="H4" s="7" t="s">
        <v>4</v>
      </c>
      <c r="I4" s="3"/>
      <c r="J4" s="7" t="s">
        <v>5</v>
      </c>
      <c r="K4" s="3"/>
      <c r="L4" s="3"/>
      <c r="M4" s="3"/>
      <c r="N4" s="1"/>
      <c r="O4" s="1"/>
      <c r="P4" s="1"/>
      <c r="Q4" s="1"/>
    </row>
    <row r="5" spans="1:17" ht="12.75">
      <c r="A5" s="3"/>
      <c r="B5" s="3"/>
      <c r="C5" s="27" t="s">
        <v>47</v>
      </c>
      <c r="D5" s="7" t="s">
        <v>8</v>
      </c>
      <c r="E5" s="3"/>
      <c r="F5" s="7" t="s">
        <v>39</v>
      </c>
      <c r="G5" s="3"/>
      <c r="H5" s="7" t="s">
        <v>3</v>
      </c>
      <c r="I5" s="8"/>
      <c r="J5" s="7" t="s">
        <v>6</v>
      </c>
      <c r="K5" s="8"/>
      <c r="L5" s="3"/>
      <c r="M5" s="3"/>
      <c r="N5" s="1"/>
      <c r="O5" s="1"/>
      <c r="P5" s="1"/>
      <c r="Q5" s="1"/>
    </row>
    <row r="6" spans="1:17" ht="12.75">
      <c r="A6" s="3" t="s">
        <v>28</v>
      </c>
      <c r="B6" s="3"/>
      <c r="C6" s="17">
        <v>4.5</v>
      </c>
      <c r="D6" s="2">
        <f>C6*25.41</f>
        <v>114.345</v>
      </c>
      <c r="F6" s="9">
        <v>0</v>
      </c>
      <c r="G6" s="9">
        <f>F6*25.41</f>
        <v>0</v>
      </c>
      <c r="H6" s="10">
        <f>IF(B63&gt;1,"0",IF(B63&lt;-1,"1",((ACOS(B63)-A63*SQRT(1-B63*B63)+A61*A61*ACOS(C63))/PI())))*100</f>
        <v>100</v>
      </c>
      <c r="I6" s="6" t="str">
        <f>IF(H6=0,"  means:"," ")</f>
        <v> </v>
      </c>
      <c r="J6" s="10">
        <f aca="true" t="shared" si="0" ref="J6:J12">IF(H6=0,"no 100% illuminated field",2.5*LOG(1/(H6/100)))</f>
        <v>0</v>
      </c>
      <c r="K6" s="8"/>
      <c r="L6" s="8"/>
      <c r="M6" s="3"/>
      <c r="N6" s="1"/>
      <c r="O6" s="1"/>
      <c r="P6" s="1"/>
      <c r="Q6" s="1"/>
    </row>
    <row r="7" spans="1:17" ht="12.75">
      <c r="A7" s="3" t="s">
        <v>29</v>
      </c>
      <c r="B7" s="3"/>
      <c r="C7" s="17">
        <v>90</v>
      </c>
      <c r="D7" s="2">
        <f>C7*25.41</f>
        <v>2286.9</v>
      </c>
      <c r="E7" s="3"/>
      <c r="F7" s="9">
        <v>0.1</v>
      </c>
      <c r="G7" s="9">
        <f aca="true" t="shared" si="1" ref="G7:G16">F7*25.41</f>
        <v>2.5410000000000004</v>
      </c>
      <c r="H7" s="10">
        <f>IF(B64&gt;1,"0",IF(B64&lt;-1,"1",((ACOS(B64)-A64*SQRT(1-B64*B64)+A61*A61*ACOS(C64))/PI())))*100</f>
        <v>100</v>
      </c>
      <c r="I7" s="6" t="str">
        <f>IF(H7=0,"  means:"," ")</f>
        <v> </v>
      </c>
      <c r="J7" s="10">
        <f t="shared" si="0"/>
        <v>0</v>
      </c>
      <c r="K7" s="3"/>
      <c r="L7" s="3"/>
      <c r="M7" s="3"/>
      <c r="N7" s="1"/>
      <c r="O7" s="1"/>
      <c r="P7" s="1"/>
      <c r="Q7" s="1"/>
    </row>
    <row r="8" spans="1:17" ht="12.75">
      <c r="A8" s="3" t="s">
        <v>30</v>
      </c>
      <c r="B8" s="3"/>
      <c r="C8" s="24">
        <v>15.3</v>
      </c>
      <c r="D8" s="2">
        <f>C8*25.41</f>
        <v>388.773</v>
      </c>
      <c r="E8" s="3"/>
      <c r="F8" s="9">
        <v>0.2</v>
      </c>
      <c r="G8" s="9">
        <f t="shared" si="1"/>
        <v>5.082000000000001</v>
      </c>
      <c r="H8" s="10">
        <f>IF(B65&gt;1,"0",IF(B65&lt;-1,"1",((ACOS(B65)-A65*SQRT(1-B65*B65)+A61*A61*ACOS(C65))/PI())))*100</f>
        <v>100</v>
      </c>
      <c r="I8" s="6" t="str">
        <f>IF(H8=0,"  means"," ")</f>
        <v> </v>
      </c>
      <c r="J8" s="10">
        <f t="shared" si="0"/>
        <v>0</v>
      </c>
      <c r="K8" s="8"/>
      <c r="L8" s="8"/>
      <c r="M8" s="3"/>
      <c r="N8" s="1"/>
      <c r="O8" s="1"/>
      <c r="P8" s="1"/>
      <c r="Q8" s="1"/>
    </row>
    <row r="9" spans="1:17" ht="12.75">
      <c r="A9" s="3" t="s">
        <v>31</v>
      </c>
      <c r="B9" s="3"/>
      <c r="C9" s="17">
        <v>24</v>
      </c>
      <c r="D9" s="2">
        <f>C9*25.41</f>
        <v>609.84</v>
      </c>
      <c r="E9" s="3"/>
      <c r="F9" s="9">
        <v>0.3</v>
      </c>
      <c r="G9" s="9">
        <f t="shared" si="1"/>
        <v>7.622999999999999</v>
      </c>
      <c r="H9" s="10">
        <f>IF(B66&gt;1,"0",IF(B66&lt;=-1,"1",((ACOS(B66)-A66*SQRT(1-B66*B66)+A61*A61*ACOS(C66))/PI())))*100</f>
        <v>99.5193809654164</v>
      </c>
      <c r="I9" s="6" t="str">
        <f>IF(H9=0,"  means"," ")</f>
        <v> </v>
      </c>
      <c r="J9" s="10">
        <f t="shared" si="0"/>
        <v>0.0052308351535366995</v>
      </c>
      <c r="K9" s="8"/>
      <c r="L9" s="8"/>
      <c r="M9" s="3"/>
      <c r="N9" s="1"/>
      <c r="O9" s="1"/>
      <c r="P9" s="1"/>
      <c r="Q9" s="1"/>
    </row>
    <row r="10" spans="1:17" ht="12.75">
      <c r="A10" s="3" t="s">
        <v>21</v>
      </c>
      <c r="B10" s="3"/>
      <c r="C10" s="17">
        <v>20</v>
      </c>
      <c r="D10" s="2">
        <f>C10</f>
        <v>20</v>
      </c>
      <c r="E10" s="3"/>
      <c r="F10" s="9">
        <v>0.4</v>
      </c>
      <c r="G10" s="9">
        <f t="shared" si="1"/>
        <v>10.164000000000001</v>
      </c>
      <c r="H10" s="10">
        <f>IF(B67&gt;1,"0",IF(B67&lt;-1,"1",((ACOS(B67)-A67*SQRT(1-B67*B67)+A61*A61*ACOS(C67))/PI())))*100</f>
        <v>97.67237939730047</v>
      </c>
      <c r="I10" s="6" t="str">
        <f>IF(H10=0,"  means"," ")</f>
        <v> </v>
      </c>
      <c r="J10" s="10">
        <f t="shared" si="0"/>
        <v>0.025570580756015558</v>
      </c>
      <c r="K10" s="8"/>
      <c r="L10" s="8"/>
      <c r="M10" s="3"/>
      <c r="N10" s="1"/>
      <c r="O10" s="1"/>
      <c r="P10" s="1"/>
      <c r="Q10" s="1"/>
    </row>
    <row r="11" spans="1:17" ht="12.75">
      <c r="A11" s="3" t="s">
        <v>35</v>
      </c>
      <c r="B11" s="3"/>
      <c r="C11" s="17">
        <v>82</v>
      </c>
      <c r="D11" s="2">
        <f>C11</f>
        <v>82</v>
      </c>
      <c r="E11" s="3"/>
      <c r="F11" s="9">
        <v>0.5</v>
      </c>
      <c r="G11" s="9">
        <f t="shared" si="1"/>
        <v>12.705</v>
      </c>
      <c r="H11" s="10">
        <f>IF(B68&gt;1,"0",IF(B68&lt;-1,"1",((ACOS(B68)-A68*SQRT(1-B68*B68)+A61*A61*ACOS(C68))/PI())))*100</f>
        <v>95.43629827734205</v>
      </c>
      <c r="I11" s="6" t="str">
        <f>IF(H11=0,"  means"," ")</f>
        <v> </v>
      </c>
      <c r="J11" s="10">
        <f t="shared" si="0"/>
        <v>0.05071603537544465</v>
      </c>
      <c r="K11" s="8"/>
      <c r="L11" s="8"/>
      <c r="M11" s="3"/>
      <c r="N11" s="1"/>
      <c r="O11" s="1"/>
      <c r="P11" s="1"/>
      <c r="Q11" s="1"/>
    </row>
    <row r="12" spans="1:17" ht="12.75">
      <c r="A12" s="3" t="s">
        <v>32</v>
      </c>
      <c r="B12" s="3"/>
      <c r="C12" s="17">
        <v>2</v>
      </c>
      <c r="D12" s="2">
        <f>C12</f>
        <v>2</v>
      </c>
      <c r="E12" s="3"/>
      <c r="F12" s="9">
        <v>0.6</v>
      </c>
      <c r="G12" s="9">
        <f t="shared" si="1"/>
        <v>15.245999999999999</v>
      </c>
      <c r="H12" s="10">
        <f>IF(B69&gt;1,"0",IF(B69&lt;-1,"1",((ACOS(B69)-A69*SQRT(1-B69*B69)+A61*A61*ACOS(C69))/PI())))*100</f>
        <v>93.03481999389368</v>
      </c>
      <c r="I12" s="6" t="str">
        <f>IF(H12=0,"  means"," ")</f>
        <v> </v>
      </c>
      <c r="J12" s="10">
        <f t="shared" si="0"/>
        <v>0.07838619579293538</v>
      </c>
      <c r="K12" s="8"/>
      <c r="L12" s="8"/>
      <c r="M12" s="3"/>
      <c r="N12" s="1"/>
      <c r="O12" s="1"/>
      <c r="P12" s="1"/>
      <c r="Q12" s="1"/>
    </row>
    <row r="13" spans="1:17" ht="12.75">
      <c r="A13" s="3"/>
      <c r="B13" s="3"/>
      <c r="D13" s="3"/>
      <c r="E13" s="3"/>
      <c r="F13" s="9">
        <v>0.7</v>
      </c>
      <c r="G13" s="9">
        <f t="shared" si="1"/>
        <v>17.787</v>
      </c>
      <c r="H13" s="10">
        <f>IF(B70&gt;1,"0",IF(B70&lt;-1,"1",((ACOS(B70)-A70*SQRT(1-B70*B70)+A61*A61*ACOS(C70))/PI())))*100</f>
        <v>90.54750219244076</v>
      </c>
      <c r="I13" s="3"/>
      <c r="J13" s="10">
        <f>2.5*LOG(1/(H13/100))</f>
        <v>0.10780881365095007</v>
      </c>
      <c r="K13" s="3"/>
      <c r="L13" s="8"/>
      <c r="M13" s="3"/>
      <c r="N13" s="1"/>
      <c r="O13" s="1"/>
      <c r="P13" s="1"/>
      <c r="Q13" s="1"/>
    </row>
    <row r="14" spans="1:17" ht="12.75">
      <c r="A14" s="3"/>
      <c r="B14" s="3"/>
      <c r="C14" s="28" t="s">
        <v>48</v>
      </c>
      <c r="D14" s="3"/>
      <c r="E14" s="3"/>
      <c r="F14" s="9">
        <v>0.8</v>
      </c>
      <c r="G14" s="9">
        <f t="shared" si="1"/>
        <v>20.328000000000003</v>
      </c>
      <c r="H14" s="10">
        <f>IF(B71&gt;1,"0",IF(B71&lt;-1,"1",((ACOS(B71)-A71*SQRT(1-B71*B71)+A61*A61*ACOS(C71))/PI())))*100</f>
        <v>88.01161341603594</v>
      </c>
      <c r="I14" s="3"/>
      <c r="J14" s="10">
        <f>IF(H14=0,"no light left",2.5*LOG(1/(H14/100)))</f>
        <v>0.13865004378016435</v>
      </c>
      <c r="K14" s="8"/>
      <c r="L14" s="8"/>
      <c r="M14" s="3"/>
      <c r="N14" s="1"/>
      <c r="O14" s="1"/>
      <c r="P14" s="1"/>
      <c r="Q14" s="1"/>
    </row>
    <row r="15" spans="1:17" ht="12.75">
      <c r="A15" s="3" t="s">
        <v>36</v>
      </c>
      <c r="B15" s="3"/>
      <c r="C15" s="10">
        <f>(D11/(D7/D10))</f>
        <v>0.7171279898552626</v>
      </c>
      <c r="D15" s="3"/>
      <c r="E15" s="3"/>
      <c r="F15" s="9">
        <v>0.9</v>
      </c>
      <c r="G15" s="9">
        <f t="shared" si="1"/>
        <v>22.869</v>
      </c>
      <c r="H15" s="10">
        <f>IF(B72&gt;1,"0",IF(B72&lt;-1,"1",((ACOS(B72)-A72*SQRT(1-B72*B72)+A61*A61*ACOS(C72))/PI())))*100</f>
        <v>85.44747524328912</v>
      </c>
      <c r="I15" s="3"/>
      <c r="J15" s="10">
        <f>IF(H15=0,"no light left",2.5*LOG(1/(H15/100)))</f>
        <v>0.17075191264210005</v>
      </c>
      <c r="K15" s="8"/>
      <c r="L15" s="8"/>
      <c r="M15" s="3"/>
      <c r="N15" s="1"/>
      <c r="O15" s="1"/>
      <c r="P15" s="1"/>
      <c r="Q15" s="1"/>
    </row>
    <row r="16" spans="1:17" ht="12.75">
      <c r="A16" s="3" t="s">
        <v>33</v>
      </c>
      <c r="B16" s="3"/>
      <c r="C16" s="10">
        <f>(IF(AND((D10*D11)&gt;1604.4,D12=1.25),1.1,IF(AND((D10*D11)&gt;2693.1,D12=2),1.85,(D10*D11/57.3/25.41))))</f>
        <v>1.1263790416574806</v>
      </c>
      <c r="D16" s="13"/>
      <c r="E16" s="3"/>
      <c r="F16" s="9">
        <v>1</v>
      </c>
      <c r="G16" s="9">
        <f t="shared" si="1"/>
        <v>25.41</v>
      </c>
      <c r="H16" s="10">
        <f>IF(B73&gt;1,"0",IF(B73&lt;-1,"1",((ACOS(B73)-A73*SQRT(1-B73*B73)+A61*A61*ACOS(C73))/PI())))*100</f>
        <v>82.86740736041946</v>
      </c>
      <c r="I16" s="3"/>
      <c r="J16" s="10">
        <f>IF(H16=0,"no light left",2.5*LOG(1/(H16/100)))</f>
        <v>0.20404062135572734</v>
      </c>
      <c r="K16" s="8"/>
      <c r="L16" s="8"/>
      <c r="M16" s="3"/>
      <c r="N16" s="1"/>
      <c r="O16" s="1"/>
      <c r="P16" s="1"/>
      <c r="Q16" s="1"/>
    </row>
    <row r="17" spans="1:17" ht="12.75">
      <c r="A17" s="3" t="s">
        <v>34</v>
      </c>
      <c r="B17" s="3"/>
      <c r="C17" s="10">
        <f>(((C6*C7)-(C8*C9))/(C7-C8))</f>
        <v>0.5060240963855416</v>
      </c>
      <c r="D17" s="13"/>
      <c r="E17" s="3"/>
      <c r="F17" s="8"/>
      <c r="G17" s="8"/>
      <c r="H17" s="14"/>
      <c r="I17" s="3"/>
      <c r="J17" s="14"/>
      <c r="K17" s="8"/>
      <c r="L17" s="8"/>
      <c r="M17" s="3"/>
      <c r="N17" s="1"/>
      <c r="O17" s="1"/>
      <c r="P17" s="1"/>
      <c r="Q17" s="1"/>
    </row>
    <row r="18" spans="1:17" ht="12.75">
      <c r="A18" s="3" t="s">
        <v>37</v>
      </c>
      <c r="B18" s="3"/>
      <c r="C18" s="10">
        <f>C17/C7*57.3</f>
        <v>0.3221686746987948</v>
      </c>
      <c r="D18" s="3"/>
      <c r="E18" s="3"/>
      <c r="F18" s="8"/>
      <c r="G18" s="8"/>
      <c r="H18" s="14"/>
      <c r="I18" s="3"/>
      <c r="J18" s="14"/>
      <c r="K18" s="3"/>
      <c r="L18" s="3"/>
      <c r="M18" s="3"/>
      <c r="N18" s="1"/>
      <c r="O18" s="1"/>
      <c r="P18" s="1"/>
      <c r="Q18" s="1"/>
    </row>
    <row r="19" spans="1:17" ht="15.75">
      <c r="A19" s="3"/>
      <c r="B19" s="3"/>
      <c r="D19" s="12">
        <f>IF(C20&gt;7,"  !!!!!!","")</f>
      </c>
      <c r="E19" s="3"/>
      <c r="F19" s="8"/>
      <c r="G19" s="8"/>
      <c r="H19" s="14"/>
      <c r="I19" s="3"/>
      <c r="J19" s="14"/>
      <c r="K19" s="3"/>
      <c r="L19" s="3"/>
      <c r="M19" s="3"/>
      <c r="N19" s="1"/>
      <c r="O19" s="1"/>
      <c r="P19" s="1"/>
      <c r="Q19" s="1"/>
    </row>
    <row r="20" spans="1:17" ht="15.75">
      <c r="A20" s="8" t="s">
        <v>49</v>
      </c>
      <c r="B20" s="3"/>
      <c r="C20" s="10">
        <f>(C9/(C7/C10))/25.41</f>
        <v>0.20989111898202806</v>
      </c>
      <c r="D20" s="3"/>
      <c r="E20" s="3"/>
      <c r="F20" s="11" t="str">
        <f>IF(H6=0,"SECONDARY TOO SMALL OR"," ")</f>
        <v> </v>
      </c>
      <c r="G20" s="11"/>
      <c r="H20" s="11"/>
      <c r="I20" s="11"/>
      <c r="J20" s="11"/>
      <c r="K20" s="11"/>
      <c r="L20" s="11"/>
      <c r="M20" s="3"/>
      <c r="N20" s="1"/>
      <c r="O20" s="1"/>
      <c r="P20" s="1"/>
      <c r="Q20" s="1"/>
    </row>
    <row r="21" spans="1:17" ht="15.75">
      <c r="A21" s="20" t="s">
        <v>17</v>
      </c>
      <c r="B21" s="20"/>
      <c r="C21" s="3"/>
      <c r="D21" s="13"/>
      <c r="E21" s="3"/>
      <c r="F21" s="11"/>
      <c r="G21" s="3"/>
      <c r="H21" s="3"/>
      <c r="I21" s="3"/>
      <c r="J21" s="3"/>
      <c r="K21" s="3"/>
      <c r="L21" s="3"/>
      <c r="M21" s="3"/>
      <c r="N21" s="1"/>
      <c r="O21" s="1"/>
      <c r="P21" s="1"/>
      <c r="Q21" s="1"/>
    </row>
    <row r="22" spans="1:17" ht="12.75">
      <c r="A22" s="3" t="s">
        <v>26</v>
      </c>
      <c r="B22" s="3"/>
      <c r="C22" s="10">
        <f>((-0.5*(((C17*(C7-B78))+(C8*(C9-C17)))/((2*(C7-B78)+(C9-C17)))-((C17*(C7-B78))+(C8*(C9-C17)))/((2*(C7-B78)-(C9-C17))))))</f>
        <v>0.2987644546905188</v>
      </c>
      <c r="D22" s="13"/>
      <c r="E22" s="3"/>
      <c r="F22" s="3"/>
      <c r="G22" s="3"/>
      <c r="H22" s="3"/>
      <c r="I22" s="3"/>
      <c r="J22" s="3"/>
      <c r="K22" s="3"/>
      <c r="L22" s="3"/>
      <c r="M22" s="3"/>
      <c r="N22" s="1"/>
      <c r="O22" s="1"/>
      <c r="P22" s="1"/>
      <c r="Q22" s="1"/>
    </row>
    <row r="23" spans="1:17" ht="12.75">
      <c r="A23" s="3" t="s">
        <v>27</v>
      </c>
      <c r="B23" s="3"/>
      <c r="C23" s="10">
        <f>(SQRT(2*C22^2))</f>
        <v>0.42251674377833376</v>
      </c>
      <c r="D23" s="1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2.75">
      <c r="A24" s="20" t="s">
        <v>19</v>
      </c>
      <c r="B24" s="21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</row>
    <row r="25" spans="1:17" ht="12.75">
      <c r="A25" s="3" t="s">
        <v>41</v>
      </c>
      <c r="C25" s="19">
        <f>C9+C16</f>
        <v>25.12637904165748</v>
      </c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</row>
    <row r="26" spans="1:17" ht="12.75">
      <c r="A26" s="3" t="s">
        <v>42</v>
      </c>
      <c r="C26" s="19">
        <f>IF((($C$6*$C$7)-($C$8*$C$9))/($C$7-$C$8)&gt;$C$16,$C$16,(($C$6*$C$7)-($C$8*$C$9))/($C$7-$C$8))+$C$9</f>
        <v>24.50602409638554</v>
      </c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6:17" ht="12.75"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</row>
    <row r="28" spans="1:17" ht="12.75">
      <c r="A28" s="3" t="s">
        <v>45</v>
      </c>
      <c r="C28" s="19">
        <f>C7-C8</f>
        <v>74.7</v>
      </c>
      <c r="F28" s="3"/>
      <c r="G28" s="3"/>
      <c r="H28" s="3"/>
      <c r="I28" s="3"/>
      <c r="J28" s="3"/>
      <c r="K28" s="3"/>
      <c r="L28" s="3"/>
      <c r="M28" s="3"/>
      <c r="N28" s="1"/>
      <c r="O28" s="1"/>
      <c r="P28" s="1"/>
      <c r="Q28" s="1"/>
    </row>
    <row r="29" spans="1:17" ht="12.75">
      <c r="A29" s="20" t="s">
        <v>20</v>
      </c>
      <c r="B29" s="21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</row>
    <row r="30" spans="1:17" ht="15.75">
      <c r="A30" s="3" t="s">
        <v>43</v>
      </c>
      <c r="C30" s="18">
        <f>C6-(2*TAN(C15/114.6)*(C28))</f>
        <v>3.5650931922640776</v>
      </c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</row>
    <row r="31" spans="1:17" ht="12.75">
      <c r="A31" s="20" t="s">
        <v>40</v>
      </c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</row>
    <row r="32" spans="1:17" ht="12.75">
      <c r="A32" t="s">
        <v>44</v>
      </c>
      <c r="C32" s="19">
        <f>B77</f>
        <v>0.4</v>
      </c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</row>
    <row r="33" spans="6:17" ht="12.75">
      <c r="F33" s="6" t="s">
        <v>22</v>
      </c>
      <c r="G33" s="6"/>
      <c r="H33" s="6"/>
      <c r="I33" s="6"/>
      <c r="J33" s="3"/>
      <c r="K33" s="3"/>
      <c r="L33" s="3"/>
      <c r="M33" s="3"/>
      <c r="N33" s="1"/>
      <c r="O33" s="1"/>
      <c r="P33" s="1"/>
      <c r="Q33" s="1"/>
    </row>
    <row r="34" spans="6:17" ht="12.75">
      <c r="F34" s="22" t="s">
        <v>38</v>
      </c>
      <c r="G34" s="22"/>
      <c r="H34" s="22"/>
      <c r="I34" s="22"/>
      <c r="J34" s="22"/>
      <c r="M34" s="3"/>
      <c r="N34" s="1"/>
      <c r="O34" s="1"/>
      <c r="P34" s="1"/>
      <c r="Q34" s="1"/>
    </row>
    <row r="35" spans="6:17" ht="12.75">
      <c r="F35" s="6" t="s">
        <v>16</v>
      </c>
      <c r="G35" s="6"/>
      <c r="H35" s="16"/>
      <c r="I35" s="26">
        <f>0.5*C16</f>
        <v>0.5631895208287403</v>
      </c>
      <c r="J35" s="6" t="s">
        <v>46</v>
      </c>
      <c r="L35" s="6"/>
      <c r="M35" s="23"/>
      <c r="N35" s="1"/>
      <c r="O35" s="1"/>
      <c r="P35" s="1"/>
      <c r="Q35" s="1"/>
    </row>
    <row r="36" spans="1:17" ht="12.75">
      <c r="A36" s="6" t="s">
        <v>15</v>
      </c>
      <c r="B36" s="6"/>
      <c r="C36" s="6"/>
      <c r="F36" s="6" t="s">
        <v>25</v>
      </c>
      <c r="G36" s="6"/>
      <c r="H36" s="6"/>
      <c r="I36" s="6"/>
      <c r="J36" s="16"/>
      <c r="K36" s="6"/>
      <c r="L36" s="3"/>
      <c r="M36" s="3"/>
      <c r="N36" s="1"/>
      <c r="O36" s="1"/>
      <c r="P36" s="1"/>
      <c r="Q36" s="1"/>
    </row>
    <row r="37" spans="1:17" ht="12.75">
      <c r="A37" s="6" t="s">
        <v>23</v>
      </c>
      <c r="B37" s="6"/>
      <c r="C37" s="6"/>
      <c r="M37" s="3"/>
      <c r="N37" s="1"/>
      <c r="O37" s="1"/>
      <c r="P37" s="1"/>
      <c r="Q37" s="1"/>
    </row>
    <row r="38" spans="1:17" ht="12.75">
      <c r="A38" s="6" t="s">
        <v>24</v>
      </c>
      <c r="B38" s="6"/>
      <c r="C38" s="6"/>
      <c r="M38" s="3"/>
      <c r="N38" s="1"/>
      <c r="O38" s="1"/>
      <c r="P38" s="1"/>
      <c r="Q38" s="1"/>
    </row>
    <row r="39" spans="13:17" ht="12.75">
      <c r="M39" s="3"/>
      <c r="N39" s="1"/>
      <c r="O39" s="1"/>
      <c r="P39" s="1"/>
      <c r="Q39" s="1"/>
    </row>
    <row r="40" spans="6:17" ht="12.75"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</row>
    <row r="41" spans="6:17" ht="12.75">
      <c r="F41" s="6"/>
      <c r="G41" s="6"/>
      <c r="H41" s="3"/>
      <c r="I41" s="3"/>
      <c r="J41" s="3"/>
      <c r="K41" s="3"/>
      <c r="L41" s="3"/>
      <c r="M41" s="3"/>
      <c r="N41" s="1"/>
      <c r="O41" s="1"/>
      <c r="P41" s="1"/>
      <c r="Q41" s="1"/>
    </row>
    <row r="42" spans="6:13" ht="12.75">
      <c r="F42" s="3"/>
      <c r="G42" s="3"/>
      <c r="H42" s="3"/>
      <c r="I42" s="3"/>
      <c r="J42" s="3"/>
      <c r="K42" s="3"/>
      <c r="L42" s="3"/>
      <c r="M42" s="3"/>
    </row>
    <row r="43" spans="6:13" ht="12.75">
      <c r="F43" s="3"/>
      <c r="G43" s="3"/>
      <c r="H43" s="3"/>
      <c r="I43" s="3"/>
      <c r="J43" s="3"/>
      <c r="K43" s="3"/>
      <c r="L43" s="3"/>
      <c r="M43" s="3"/>
    </row>
    <row r="44" spans="6:13" ht="12.75">
      <c r="F44" s="3"/>
      <c r="G44" s="3"/>
      <c r="H44" s="3"/>
      <c r="I44" s="3"/>
      <c r="J44" s="3"/>
      <c r="K44" s="3"/>
      <c r="L44" s="3"/>
      <c r="M44" s="3"/>
    </row>
    <row r="45" spans="1:13" ht="12.75">
      <c r="A45" s="8"/>
      <c r="B45" s="14"/>
      <c r="C45" s="8"/>
      <c r="D45" s="3"/>
      <c r="E45" s="14"/>
      <c r="F45" s="13"/>
      <c r="G45" s="3"/>
      <c r="H45" s="3"/>
      <c r="I45" s="3"/>
      <c r="J45" s="3"/>
      <c r="K45" s="3"/>
      <c r="L45" s="3"/>
      <c r="M45" s="3"/>
    </row>
    <row r="46" spans="4:13" ht="12.75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2.7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2.75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8"/>
      <c r="B49" s="14"/>
      <c r="C49" s="8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4" ht="12.75">
      <c r="A50" s="1"/>
      <c r="B50" s="1"/>
      <c r="C50" s="1"/>
      <c r="D50" s="1"/>
    </row>
    <row r="59" spans="1:5" ht="12.75">
      <c r="A59" s="7" t="s">
        <v>2</v>
      </c>
      <c r="B59" s="7"/>
      <c r="C59" s="3"/>
      <c r="D59" s="3"/>
      <c r="E59" s="3"/>
    </row>
    <row r="60" spans="1:5" ht="12.75">
      <c r="A60" s="3" t="s">
        <v>14</v>
      </c>
      <c r="B60" s="3"/>
      <c r="C60" s="3"/>
      <c r="D60" s="3"/>
      <c r="E60" s="3"/>
    </row>
    <row r="61" spans="1:5" ht="12.75">
      <c r="A61" s="15">
        <f>(D6*D7)/(D8*D9)</f>
        <v>1.102941176470588</v>
      </c>
      <c r="B61" s="3"/>
      <c r="C61" s="3"/>
      <c r="D61" s="3"/>
      <c r="E61" s="3"/>
    </row>
    <row r="62" spans="1:5" ht="12.75">
      <c r="A62" s="3" t="s">
        <v>13</v>
      </c>
      <c r="B62" s="3" t="s">
        <v>12</v>
      </c>
      <c r="C62" s="3" t="s">
        <v>1</v>
      </c>
      <c r="D62" s="3"/>
      <c r="E62" s="3"/>
    </row>
    <row r="63" spans="1:5" ht="12.75">
      <c r="A63" s="15">
        <f>2*(G6+0.1)*(D7-D8)/(D8*D9)</f>
        <v>0.0016011914407636331</v>
      </c>
      <c r="B63" s="15">
        <f>(A63^2+1-A61^2)/(2*A63)</f>
        <v>-67.59862357153676</v>
      </c>
      <c r="C63" s="15">
        <f>(A63^2+A61^2-1)/(2*A63*A61)</f>
        <v>61.290870451766295</v>
      </c>
      <c r="D63" s="3"/>
      <c r="E63" s="3"/>
    </row>
    <row r="64" spans="1:5" ht="12.75">
      <c r="A64" s="15">
        <f>2*(G7)*(D7-D8)/(D8*D9)</f>
        <v>0.04068627450980392</v>
      </c>
      <c r="B64" s="15">
        <f>(A64^2+1-A61^2)/(2*A64)</f>
        <v>-2.6400041341837883</v>
      </c>
      <c r="C64" s="15">
        <f>(A64^2+A61^2-1)/(2*A64*A61)</f>
        <v>2.430492637215525</v>
      </c>
      <c r="D64" s="3"/>
      <c r="E64" s="3"/>
    </row>
    <row r="65" spans="1:5" ht="12.75">
      <c r="A65" s="15">
        <f>(2*G8)*(D7-D8)/(D8*D9)</f>
        <v>0.08137254901960785</v>
      </c>
      <c r="B65" s="15">
        <f>(A65^2+1-A61^2)/(2*A65)</f>
        <v>-1.2894873612095417</v>
      </c>
      <c r="C65" s="15">
        <f>(A65^2+A61^2-1)/(2*A65*A61)</f>
        <v>1.2429129852744287</v>
      </c>
      <c r="D65" s="3"/>
      <c r="E65" s="3"/>
    </row>
    <row r="66" spans="1:5" ht="12.75">
      <c r="A66" s="15">
        <f>(2*G9)*(D7-D8)/(D8*D9)</f>
        <v>0.12205882352941173</v>
      </c>
      <c r="B66" s="15">
        <f>(A66^2+1-A61^2)/(2*A66)</f>
        <v>-0.8257530120481914</v>
      </c>
      <c r="C66" s="15">
        <f>(A66^2+A61^2-1)/(2*A66*A61)</f>
        <v>0.8593493975903601</v>
      </c>
      <c r="D66" s="3"/>
      <c r="E66" s="3"/>
    </row>
    <row r="67" spans="1:5" ht="12.75">
      <c r="A67" s="15">
        <f>(2*G10)*(D7-D8)/(D8*D9)</f>
        <v>0.1627450980392157</v>
      </c>
      <c r="B67" s="15">
        <f>(A67^2+1-A61^2)/(2*A67)</f>
        <v>-0.5837142688400647</v>
      </c>
      <c r="C67" s="15">
        <f>(A67^2+A61^2-1)/(2*A67*A61)</f>
        <v>0.6767898259705479</v>
      </c>
      <c r="D67" s="3"/>
      <c r="E67" s="3"/>
    </row>
    <row r="68" spans="1:5" ht="12.75">
      <c r="A68" s="15">
        <f>(2*G11)*(D7-D8)/(D8*D9)</f>
        <v>0.2034313725490196</v>
      </c>
      <c r="B68" s="15">
        <f>(A68^2+1-A61^2)/(2*A68)</f>
        <v>-0.4303537680132284</v>
      </c>
      <c r="C68" s="15">
        <f>(A68^2+A61^2-1)/(2*A68*A61)</f>
        <v>0.5746318607764382</v>
      </c>
      <c r="D68" s="3"/>
      <c r="E68" s="3"/>
    </row>
    <row r="69" spans="1:5" ht="12.75">
      <c r="A69" s="15">
        <f>(2*G12)*(D7-D8)/(D8*D9)</f>
        <v>0.24411764705882347</v>
      </c>
      <c r="B69" s="15">
        <f>(A69^2+1-A61^2)/(2*A69)</f>
        <v>-0.3213323883770367</v>
      </c>
      <c r="C69" s="15">
        <f>(A69^2+A61^2-1)/(2*A69*A61)</f>
        <v>0.5126746987951802</v>
      </c>
      <c r="D69" s="3"/>
      <c r="E69" s="3"/>
    </row>
    <row r="70" spans="1:5" ht="12.75">
      <c r="A70" s="15">
        <f>(2*G13)*(D7-D8)/(D8*D9)</f>
        <v>0.2848039215686274</v>
      </c>
      <c r="B70" s="15">
        <f>(A70^2+1-A61^2)/(2*A70)</f>
        <v>-0.23764764942121366</v>
      </c>
      <c r="C70" s="15">
        <f>(A70^2+A61^2-1)/(2*A70*A61)</f>
        <v>0.4736894243641226</v>
      </c>
      <c r="D70" s="3"/>
      <c r="E70" s="3"/>
    </row>
    <row r="71" spans="1:5" ht="12.75">
      <c r="A71" s="15">
        <f>(2*G14)*(D7-D8)/(D8*D9)</f>
        <v>0.3254901960784314</v>
      </c>
      <c r="B71" s="15">
        <f>(A71^2+1-A61^2)/(2*A71)</f>
        <v>-0.16979831089062072</v>
      </c>
      <c r="C71" s="15">
        <f>(A71^2+A61^2-1)/(2*A71*A61)</f>
        <v>0.44906157965194055</v>
      </c>
      <c r="D71" s="3"/>
      <c r="E71" s="3"/>
    </row>
    <row r="72" spans="1:5" ht="12.75">
      <c r="A72" s="15">
        <f>(2*G15)*(D7-D8)/(D8*D9)</f>
        <v>0.3661764705882352</v>
      </c>
      <c r="B72" s="15">
        <f>(A72^2+1-A61^2)/(2*A72)</f>
        <v>-0.11250590597684797</v>
      </c>
      <c r="C72" s="15">
        <f>(A72^2+A61^2-1)/(2*A72*A61)</f>
        <v>0.4340053547523424</v>
      </c>
      <c r="D72" s="3"/>
      <c r="E72" s="3"/>
    </row>
    <row r="73" spans="1:5" ht="12.75">
      <c r="A73" s="15">
        <f>(2*G16)*(D7-D8)/(D8*D9)</f>
        <v>0.4068627450980392</v>
      </c>
      <c r="B73" s="15">
        <f>(A73^2+1-A61^2)/(2*A73)</f>
        <v>-0.06260335459484948</v>
      </c>
      <c r="C73" s="15">
        <f>(A73^2+A61^2-1)/(2*A73*A61)</f>
        <v>0.4256492637215525</v>
      </c>
      <c r="D73" s="3"/>
      <c r="E73" s="3"/>
    </row>
    <row r="74" spans="1:5" ht="12.75">
      <c r="A74" s="15">
        <f>(2*F17)*(D7-D8)/(D8*D9)</f>
        <v>0</v>
      </c>
      <c r="B74" s="15" t="e">
        <f>(A74^2+1-A61^2)/(2*A74)</f>
        <v>#DIV/0!</v>
      </c>
      <c r="C74" s="15" t="e">
        <f>(A74^2+A61^2-1)/(2*A74*A61)</f>
        <v>#DIV/0!</v>
      </c>
      <c r="D74" s="3"/>
      <c r="E74" s="3"/>
    </row>
    <row r="75" spans="1:5" ht="12.75">
      <c r="A75" s="15">
        <f>(2*F18)*(D7-D8)/(D8*D9)</f>
        <v>0</v>
      </c>
      <c r="B75" s="15" t="e">
        <f>(A75^2+1-A61^2)/(2*A75)</f>
        <v>#DIV/0!</v>
      </c>
      <c r="C75" s="15" t="e">
        <f>(A75^2+A61^2-1)/(2*A75*A61)</f>
        <v>#DIV/0!</v>
      </c>
      <c r="D75" s="3"/>
      <c r="E75" s="3"/>
    </row>
    <row r="76" spans="1:5" ht="12.75">
      <c r="A76" s="15">
        <f>(2*F19)*(D7-D8)/(D8*D9)</f>
        <v>0</v>
      </c>
      <c r="B76" s="15" t="e">
        <f>(A76^2+1-A61^2)/(2*A76)</f>
        <v>#DIV/0!</v>
      </c>
      <c r="C76" s="15" t="e">
        <f>(A76^2+A61^2-1)/(2*A76*A61)</f>
        <v>#DIV/0!</v>
      </c>
      <c r="D76" s="3"/>
      <c r="E76" s="3"/>
    </row>
    <row r="77" spans="1:3" ht="12.75">
      <c r="A77" s="9" t="s">
        <v>18</v>
      </c>
      <c r="B77" s="15">
        <f>C9^2/(16*C7)</f>
        <v>0.4</v>
      </c>
      <c r="C77" s="9"/>
    </row>
    <row r="78" spans="1:3" ht="12.75">
      <c r="A78" s="25"/>
      <c r="B78" s="25">
        <v>0</v>
      </c>
      <c r="C78" s="25"/>
    </row>
  </sheetData>
  <sheetProtection password="C12D" sheet="1" objects="1" scenarios="1"/>
  <protectedRanges>
    <protectedRange sqref="C6:C12" name="input"/>
  </protectedRange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 FPP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Gastel</dc:creator>
  <cp:keywords/>
  <dc:description/>
  <cp:lastModifiedBy>Jan van Gastel</cp:lastModifiedBy>
  <dcterms:created xsi:type="dcterms:W3CDTF">2002-02-01T08:25:57Z</dcterms:created>
  <dcterms:modified xsi:type="dcterms:W3CDTF">2009-10-20T13:19:22Z</dcterms:modified>
  <cp:category/>
  <cp:version/>
  <cp:contentType/>
  <cp:contentStatus/>
</cp:coreProperties>
</file>