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<sst xmlns="http://schemas.openxmlformats.org/spreadsheetml/2006/main" count="163" uniqueCount="99">
  <si>
    <t>Input values</t>
  </si>
  <si>
    <t>Geographical lattitude</t>
  </si>
  <si>
    <t>North-South length of platform</t>
  </si>
  <si>
    <t>Length B</t>
  </si>
  <si>
    <t>Length A</t>
  </si>
  <si>
    <t>platform top thickness</t>
  </si>
  <si>
    <t>q</t>
  </si>
  <si>
    <t>180/pi</t>
  </si>
  <si>
    <t>x</t>
  </si>
  <si>
    <t>y</t>
  </si>
  <si>
    <t>hoogte</t>
  </si>
  <si>
    <t>r</t>
  </si>
  <si>
    <t>s</t>
  </si>
  <si>
    <t>Output values</t>
  </si>
  <si>
    <t>Length of sector under platform</t>
  </si>
  <si>
    <t>sin lattitude</t>
  </si>
  <si>
    <t>tan lattitude</t>
  </si>
  <si>
    <t>Calculations for  two sector (cylindrical bearing) equatorial platform</t>
  </si>
  <si>
    <t>Heigth of telescope's center of gravity *</t>
  </si>
  <si>
    <t>radius South sector **</t>
  </si>
  <si>
    <t>radius North sector **</t>
  </si>
  <si>
    <t>**  radius of circle from which the sector will be cut</t>
  </si>
  <si>
    <t>*** if wider than platform width, cut equal parts from both sides to match platform width</t>
  </si>
  <si>
    <t>Width of South sector ***</t>
  </si>
  <si>
    <t>Width of North sector ***</t>
  </si>
  <si>
    <t>Only figures in de green cells can be changed</t>
  </si>
  <si>
    <t>*   as measured from platform top; not critical</t>
  </si>
  <si>
    <t>Length D</t>
  </si>
  <si>
    <t>lengte -q</t>
  </si>
  <si>
    <t>Southern edge to pivot point: C #</t>
  </si>
  <si>
    <t xml:space="preserve">#   I prefer to place the pivot point at the center, but you might prefer another place </t>
  </si>
  <si>
    <t>Reduction</t>
  </si>
  <si>
    <t>q voor aandr arm</t>
  </si>
  <si>
    <t>t voor aandr arm</t>
  </si>
  <si>
    <t>Pitch of threaded rod (threads per inch)</t>
  </si>
  <si>
    <t>Motor speed (revs/minute)</t>
  </si>
  <si>
    <t xml:space="preserve">        1    :</t>
  </si>
  <si>
    <t>Drive shaft length ##</t>
  </si>
  <si>
    <t>## Measured (1) at the point where the shaft is in touch with the mechanism moving the shaft and (2) relative to the North edge of the platform</t>
  </si>
  <si>
    <t xml:space="preserve">     Positive (+) if thecontact point lies beyond the North edge, negative (-) if the contact point lies under the platform top</t>
  </si>
  <si>
    <t xml:space="preserve">    and, for instance lies on the North sector  (see drawing)</t>
  </si>
  <si>
    <t>Vertical distance platform top to drive arm</t>
  </si>
  <si>
    <t>Length C</t>
  </si>
  <si>
    <t>Motor speed (rev's/minute)</t>
  </si>
  <si>
    <t>Length of North sector under platform</t>
  </si>
  <si>
    <t>Q=</t>
  </si>
  <si>
    <t>R=</t>
  </si>
  <si>
    <t>S=</t>
  </si>
  <si>
    <t>T</t>
  </si>
  <si>
    <t>Q aandr arm</t>
  </si>
  <si>
    <t>Rad aandr sect</t>
  </si>
  <si>
    <t>Jan van Gastel</t>
  </si>
  <si>
    <t>Pitch of threaded rod (threads/inch)</t>
  </si>
  <si>
    <t>Only the figures in the green cells can be changed</t>
  </si>
  <si>
    <t xml:space="preserve">                               1      :</t>
  </si>
  <si>
    <t>Z</t>
  </si>
  <si>
    <t>Y</t>
  </si>
  <si>
    <t>Z-Y</t>
  </si>
  <si>
    <t>Calculations for platform with a pivot point on the South and a sector on the North side</t>
  </si>
  <si>
    <t>Platform (wood) thickness</t>
  </si>
  <si>
    <t>North-South length of platform top</t>
  </si>
  <si>
    <t xml:space="preserve">   negative (-) if you position the pivot point somewhere below the platform top (on line 2): length Q,</t>
  </si>
  <si>
    <t>Position of pivot point: distance R (+) or Q (-) **</t>
  </si>
  <si>
    <t>(Calculations for a two sector, cylindrical bearing platform are on Page 1)</t>
  </si>
  <si>
    <t xml:space="preserve">                                  1      :</t>
  </si>
  <si>
    <t>Calculations for an equatorial platform with a pivot point on the South and a sector on the North side</t>
  </si>
  <si>
    <t xml:space="preserve">Distance platform top -&gt; drive-arm </t>
  </si>
  <si>
    <t xml:space="preserve">    Positive (+) if  thecontact point lies beyond the North edge, negative (-) if the contact point lies to the South of the Northern edge of the platform top</t>
  </si>
  <si>
    <t>Input values (inches)</t>
  </si>
  <si>
    <t>Length R (+) of Q (-)= distance platform -&gt; pivot point **</t>
  </si>
  <si>
    <t>Drive-arm length ***</t>
  </si>
  <si>
    <t>*** Measured (1) at the point where the shaft is in touch with the mechanism moving the shaft and (2) relative to the North edge of the platform</t>
  </si>
  <si>
    <t>#  radius of circle from which the sector will be cut</t>
  </si>
  <si>
    <t>Radius North sector #</t>
  </si>
  <si>
    <t>Given length of C (see drawing), position of Southern pivot point relative to the platform top, along line x-y is calculated. For given position of pivot point and calculation of C, see Page 2.</t>
  </si>
  <si>
    <t>Given position (input value) of Southern pivot point. Calculated is length of C (see drawing). For given length of C and calculation of position of pivot point, see Page 3.</t>
  </si>
  <si>
    <t>Width of North sector under platform ##</t>
  </si>
  <si>
    <t>(Calculations for a two sector cylindrical bearing platform are on Page 1)</t>
  </si>
  <si>
    <t>## If too wide, cut equal parts from both ends</t>
  </si>
  <si>
    <t>Height of center of gravity of telescope *</t>
  </si>
  <si>
    <t>(Calculations for a platform with one pivot point on the South side, on page 2 and page 3)</t>
  </si>
  <si>
    <t>Heigth of center of gravity of telescope *</t>
  </si>
  <si>
    <t>http://members.ziggo.nl/jhm.vangastel/Astronomy/</t>
  </si>
  <si>
    <t>email: jhm.vangastel at ziggo.nl</t>
  </si>
  <si>
    <t>Distance between two sectors</t>
  </si>
  <si>
    <t xml:space="preserve"> (inches)</t>
  </si>
  <si>
    <t>tan 90-lattitude</t>
  </si>
  <si>
    <t>sin 90-lattitude</t>
  </si>
  <si>
    <t>In case of direct drive</t>
  </si>
  <si>
    <t>Diameter of drive shaft</t>
  </si>
  <si>
    <t>Diameter of drive shaft (inch)</t>
  </si>
  <si>
    <t>Direct drive</t>
  </si>
  <si>
    <t>Threaded rod drive</t>
  </si>
  <si>
    <t>In case of threaded rod drive</t>
  </si>
  <si>
    <r>
      <t>Pitch of threaded rod (</t>
    </r>
    <r>
      <rPr>
        <i/>
        <sz val="10"/>
        <rFont val="Arial"/>
        <family val="2"/>
      </rPr>
      <t>threads/inch</t>
    </r>
    <r>
      <rPr>
        <sz val="10"/>
        <rFont val="Arial"/>
        <family val="0"/>
      </rPr>
      <t>)</t>
    </r>
  </si>
  <si>
    <t>diameter of drive shaft (inch)</t>
  </si>
  <si>
    <t>**  Measured along the line XY. The pivot point is somewhere on the line XY. The distance is positive (+) if you position the pivot point higher then the platform top (on line 1): length R,</t>
  </si>
  <si>
    <t>Distance pivot point -&gt; Northern edge of platform ###</t>
  </si>
  <si>
    <t>### Measured along the bottom of the platform top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</si>
</sst>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;;;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0" fillId="0" borderId="0" xfId="0" applyNumberFormat="1" applyAlignment="1" applyProtection="1">
      <alignment/>
      <protection hidden="1"/>
    </xf>
    <xf numFmtId="0" fontId="5" fillId="3" borderId="0" xfId="0" applyFont="1" applyFill="1" applyAlignment="1">
      <alignment/>
    </xf>
    <xf numFmtId="2" fontId="5" fillId="3" borderId="0" xfId="0" applyNumberFormat="1" applyFont="1" applyFill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2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16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ziggo.nl/jhm.vangastel/Astronomy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ziggo.nl/jhm.vangastel/Astronomy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ziggo.nl/jhm.vangastel/Astronomy/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I30" sqref="I30"/>
    </sheetView>
  </sheetViews>
  <sheetFormatPr defaultColWidth="9.140625" defaultRowHeight="12.75"/>
  <cols>
    <col min="1" max="1" width="15.8515625" style="0" customWidth="1"/>
  </cols>
  <sheetData>
    <row r="2" spans="1:5" ht="18">
      <c r="A2" s="2" t="s">
        <v>17</v>
      </c>
      <c r="B2" s="2"/>
      <c r="C2" s="2"/>
      <c r="D2" s="2"/>
      <c r="E2" s="2"/>
    </row>
    <row r="3" spans="1:7" ht="12.75">
      <c r="A3" s="3" t="s">
        <v>80</v>
      </c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4" ht="12.75">
      <c r="A5" s="3"/>
      <c r="B5" s="3"/>
      <c r="C5" s="3"/>
      <c r="D5" s="3"/>
    </row>
    <row r="6" spans="1:5" ht="12.75">
      <c r="A6" s="5" t="s">
        <v>25</v>
      </c>
      <c r="B6" s="5"/>
      <c r="C6" s="5"/>
      <c r="D6" s="5"/>
      <c r="E6" s="6"/>
    </row>
    <row r="9" spans="1:2" ht="15.75">
      <c r="A9" s="1" t="s">
        <v>68</v>
      </c>
      <c r="B9" s="1"/>
    </row>
    <row r="10" spans="1:5" ht="12.75">
      <c r="A10" t="s">
        <v>18</v>
      </c>
      <c r="E10" s="4">
        <v>15</v>
      </c>
    </row>
    <row r="11" spans="1:5" ht="12.75">
      <c r="A11" t="s">
        <v>5</v>
      </c>
      <c r="E11" s="4">
        <v>0.71</v>
      </c>
    </row>
    <row r="12" spans="1:5" ht="12.75">
      <c r="A12" t="s">
        <v>1</v>
      </c>
      <c r="E12" s="4">
        <v>52</v>
      </c>
    </row>
    <row r="13" spans="1:5" ht="12.75">
      <c r="A13" t="s">
        <v>2</v>
      </c>
      <c r="E13" s="4">
        <v>27</v>
      </c>
    </row>
    <row r="14" spans="1:5" ht="12.75">
      <c r="A14" t="s">
        <v>4</v>
      </c>
      <c r="E14" s="4">
        <v>0.35</v>
      </c>
    </row>
    <row r="15" spans="1:5" ht="12.75">
      <c r="A15" t="s">
        <v>3</v>
      </c>
      <c r="E15" s="4">
        <v>2</v>
      </c>
    </row>
    <row r="16" spans="1:5" ht="12.75">
      <c r="A16" t="s">
        <v>29</v>
      </c>
      <c r="E16" s="4">
        <f>0.5*E13</f>
        <v>13.5</v>
      </c>
    </row>
    <row r="17" spans="1:13" ht="12.75">
      <c r="A17" t="s">
        <v>27</v>
      </c>
      <c r="E17" s="4">
        <v>0.35</v>
      </c>
      <c r="J17" s="3"/>
      <c r="K17" s="3"/>
      <c r="L17" s="3"/>
      <c r="M17" s="3"/>
    </row>
    <row r="18" spans="1:5" ht="12.75">
      <c r="A18" t="s">
        <v>35</v>
      </c>
      <c r="E18" s="4">
        <v>2.5</v>
      </c>
    </row>
    <row r="19" spans="5:13" ht="12.75">
      <c r="E19" s="21"/>
      <c r="J19" s="3"/>
      <c r="K19" s="3"/>
      <c r="L19" s="3"/>
      <c r="M19" s="3"/>
    </row>
    <row r="21" spans="1:5" ht="12.75">
      <c r="A21" s="3" t="s">
        <v>93</v>
      </c>
      <c r="B21" s="3"/>
      <c r="C21" s="3"/>
      <c r="D21" s="3"/>
      <c r="E21" s="3"/>
    </row>
    <row r="22" spans="1:9" ht="12.75">
      <c r="A22" t="s">
        <v>37</v>
      </c>
      <c r="E22" s="4">
        <v>0.04</v>
      </c>
      <c r="F22" s="3"/>
      <c r="G22" s="3"/>
      <c r="H22" s="3"/>
      <c r="I22" s="3"/>
    </row>
    <row r="23" spans="1:5" ht="12.75">
      <c r="A23" t="s">
        <v>34</v>
      </c>
      <c r="E23" s="4">
        <v>20</v>
      </c>
    </row>
    <row r="24" spans="1:5" ht="12.75">
      <c r="A24" t="s">
        <v>41</v>
      </c>
      <c r="E24" s="4">
        <v>0.35</v>
      </c>
    </row>
    <row r="26" spans="1:2" ht="12.75">
      <c r="A26" s="3" t="s">
        <v>88</v>
      </c>
      <c r="B26" s="3"/>
    </row>
    <row r="27" spans="1:5" ht="12.75">
      <c r="A27" s="22" t="s">
        <v>95</v>
      </c>
      <c r="B27" s="22"/>
      <c r="E27" s="4">
        <v>0.35</v>
      </c>
    </row>
    <row r="29" spans="1:2" ht="15.75">
      <c r="A29" s="1" t="s">
        <v>13</v>
      </c>
      <c r="B29" s="1" t="s">
        <v>85</v>
      </c>
    </row>
    <row r="30" spans="1:5" ht="12.75">
      <c r="A30" t="s">
        <v>19</v>
      </c>
      <c r="E30" s="9">
        <f>B52*B60</f>
        <v>2.5582388584031883</v>
      </c>
    </row>
    <row r="31" spans="1:5" ht="12.75">
      <c r="A31" t="s">
        <v>20</v>
      </c>
      <c r="E31" s="9">
        <f>B52*B61</f>
        <v>21.265706137945802</v>
      </c>
    </row>
    <row r="32" spans="1:5" ht="12.75">
      <c r="A32" t="s">
        <v>14</v>
      </c>
      <c r="E32" s="9">
        <f>B58</f>
        <v>3.2485384909654877</v>
      </c>
    </row>
    <row r="33" spans="1:5" ht="12.75">
      <c r="A33" t="s">
        <v>23</v>
      </c>
      <c r="E33" s="9">
        <f>2*SQRT(E30^2-(E30-E32)^2)</f>
        <v>4.9266915770843225</v>
      </c>
    </row>
    <row r="34" spans="1:5" ht="12.75">
      <c r="A34" t="s">
        <v>24</v>
      </c>
      <c r="E34" s="9">
        <f>2*SQRT(E31^2-(E31-E32)^2)</f>
        <v>22.593089875098674</v>
      </c>
    </row>
    <row r="35" spans="1:5" ht="12.75">
      <c r="A35" t="s">
        <v>84</v>
      </c>
      <c r="E35" s="9">
        <f>E13-(E14+E17+TAN(E12/(180/PI()))*E15)</f>
        <v>23.740116735613842</v>
      </c>
    </row>
    <row r="37" ht="12.75">
      <c r="A37" s="3" t="s">
        <v>31</v>
      </c>
    </row>
    <row r="38" spans="1:5" ht="12.75">
      <c r="A38" t="s">
        <v>92</v>
      </c>
      <c r="D38" s="8" t="s">
        <v>36</v>
      </c>
      <c r="E38" s="9">
        <f>E18*(25.41/E23)/((2.541*10*B63*B52*2*PI())/1436)</f>
        <v>1.4198913497713797</v>
      </c>
    </row>
    <row r="39" spans="1:5" ht="12.75">
      <c r="A39" t="s">
        <v>91</v>
      </c>
      <c r="D39" s="8" t="s">
        <v>36</v>
      </c>
      <c r="E39" s="9">
        <f>ROUND((E18*60/(((E31*2.541*10*2*PI()/24)/(E27*25.41*PI())))),2)</f>
        <v>29.63</v>
      </c>
    </row>
    <row r="41" spans="1:2" ht="12.75">
      <c r="A41" s="3" t="s">
        <v>26</v>
      </c>
      <c r="B41" s="3"/>
    </row>
    <row r="42" spans="1:5" ht="12.75">
      <c r="A42" s="3" t="s">
        <v>21</v>
      </c>
      <c r="B42" s="3"/>
      <c r="C42" s="3"/>
      <c r="D42" s="3"/>
      <c r="E42" s="3"/>
    </row>
    <row r="43" spans="1:8" ht="12.75">
      <c r="A43" s="3" t="s">
        <v>22</v>
      </c>
      <c r="B43" s="3"/>
      <c r="C43" s="3"/>
      <c r="D43" s="3"/>
      <c r="E43" s="3"/>
      <c r="F43" s="3"/>
      <c r="G43" s="3"/>
      <c r="H43" s="3"/>
    </row>
    <row r="44" ht="12.75">
      <c r="A44" s="3" t="s">
        <v>30</v>
      </c>
    </row>
    <row r="45" ht="12.75">
      <c r="A45" s="3" t="s">
        <v>38</v>
      </c>
    </row>
    <row r="46" ht="12.75">
      <c r="A46" s="3" t="s">
        <v>39</v>
      </c>
    </row>
    <row r="47" ht="12.75">
      <c r="A47" s="3" t="s">
        <v>40</v>
      </c>
    </row>
    <row r="49" spans="1:4" ht="15.75">
      <c r="A49" s="1" t="s">
        <v>51</v>
      </c>
      <c r="B49" s="1"/>
      <c r="C49" s="1"/>
      <c r="D49" s="1"/>
    </row>
    <row r="50" spans="1:4" ht="15">
      <c r="A50" s="18" t="s">
        <v>82</v>
      </c>
      <c r="B50" s="15"/>
      <c r="C50" s="15"/>
      <c r="D50" s="15"/>
    </row>
    <row r="51" ht="12.75">
      <c r="A51" t="s">
        <v>83</v>
      </c>
    </row>
    <row r="52" spans="1:2" ht="12.75">
      <c r="A52" s="7" t="s">
        <v>15</v>
      </c>
      <c r="B52" s="7">
        <f>SIN(E12/B54)</f>
        <v>0.7880107536067219</v>
      </c>
    </row>
    <row r="53" spans="1:2" ht="12.75">
      <c r="A53" s="7" t="s">
        <v>16</v>
      </c>
      <c r="B53" s="7">
        <f>TAN(E12/B54)</f>
        <v>1.2799416321930785</v>
      </c>
    </row>
    <row r="54" spans="1:2" ht="12.75">
      <c r="A54" s="7" t="s">
        <v>7</v>
      </c>
      <c r="B54" s="7">
        <f>180/PI()</f>
        <v>57.29577951308232</v>
      </c>
    </row>
    <row r="55" spans="1:2" ht="12.75">
      <c r="A55" s="7" t="s">
        <v>28</v>
      </c>
      <c r="B55" s="7">
        <f>E13-E16</f>
        <v>13.5</v>
      </c>
    </row>
    <row r="56" spans="1:2" ht="12.75">
      <c r="A56" s="7" t="s">
        <v>10</v>
      </c>
      <c r="B56" s="7">
        <f>E10+E11+E15</f>
        <v>17.71</v>
      </c>
    </row>
    <row r="57" spans="1:2" ht="12.75">
      <c r="A57" s="7" t="s">
        <v>8</v>
      </c>
      <c r="B57" s="7">
        <f>B53*E15</f>
        <v>2.559883264386157</v>
      </c>
    </row>
    <row r="58" spans="1:2" ht="12.75">
      <c r="A58" s="7" t="s">
        <v>9</v>
      </c>
      <c r="B58" s="7">
        <f>SQRT(B57^2+E15^2)</f>
        <v>3.2485384909654877</v>
      </c>
    </row>
    <row r="59" spans="1:2" ht="12.75">
      <c r="A59" s="7" t="s">
        <v>6</v>
      </c>
      <c r="B59" s="7">
        <f>B56/B53</f>
        <v>13.836568445433969</v>
      </c>
    </row>
    <row r="60" spans="1:2" ht="12.75">
      <c r="A60" s="7" t="s">
        <v>11</v>
      </c>
      <c r="B60" s="7">
        <f>B59-E16+B57+E17</f>
        <v>3.2464517098201258</v>
      </c>
    </row>
    <row r="61" spans="1:2" ht="12.75">
      <c r="A61" s="7" t="s">
        <v>12</v>
      </c>
      <c r="B61" s="7">
        <f>B59+B55-E14</f>
        <v>26.986568445433967</v>
      </c>
    </row>
    <row r="62" spans="1:2" ht="12.75">
      <c r="A62" s="7" t="s">
        <v>32</v>
      </c>
      <c r="B62" s="10">
        <f>(E10+E24)/B53</f>
        <v>11.992734366878114</v>
      </c>
    </row>
    <row r="63" spans="1:2" ht="12.75">
      <c r="A63" s="7" t="s">
        <v>33</v>
      </c>
      <c r="B63" s="10">
        <f>B62+B55+E22</f>
        <v>25.532734366878113</v>
      </c>
    </row>
  </sheetData>
  <sheetProtection password="C12D" sheet="1" objects="1" scenarios="1"/>
  <hyperlinks>
    <hyperlink ref="A50" r:id="rId1" display="http://members.ziggo.nl/jhm.vangastel/Astronomy/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TurboCAD2D.Drawing" shapeId="3113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6">
      <selection activeCell="A45" sqref="A45:C45"/>
    </sheetView>
  </sheetViews>
  <sheetFormatPr defaultColWidth="9.140625" defaultRowHeight="12.75"/>
  <cols>
    <col min="1" max="1" width="15.140625" style="0" customWidth="1"/>
    <col min="3" max="3" width="22.8515625" style="0" customWidth="1"/>
    <col min="4" max="4" width="10.7109375" style="0" bestFit="1" customWidth="1"/>
  </cols>
  <sheetData>
    <row r="1" ht="18">
      <c r="A1" s="12" t="s">
        <v>58</v>
      </c>
    </row>
    <row r="2" ht="12.75">
      <c r="A2" s="3" t="s">
        <v>77</v>
      </c>
    </row>
    <row r="4" spans="1:11" ht="12.75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4" ht="12.75">
      <c r="A6" s="5" t="s">
        <v>53</v>
      </c>
      <c r="B6" s="3"/>
      <c r="C6" s="3"/>
      <c r="D6" s="3"/>
    </row>
    <row r="7" spans="1:2" ht="15.75">
      <c r="A7" s="1" t="s">
        <v>68</v>
      </c>
      <c r="B7" s="1"/>
    </row>
    <row r="8" spans="1:4" ht="12.75">
      <c r="A8" t="s">
        <v>79</v>
      </c>
      <c r="D8" s="13">
        <v>15</v>
      </c>
    </row>
    <row r="9" spans="1:4" ht="12.75">
      <c r="A9" t="s">
        <v>59</v>
      </c>
      <c r="D9" s="13">
        <v>0.71</v>
      </c>
    </row>
    <row r="10" spans="1:4" ht="12.75">
      <c r="A10" t="s">
        <v>60</v>
      </c>
      <c r="D10" s="13">
        <v>27</v>
      </c>
    </row>
    <row r="11" spans="1:4" ht="12.75">
      <c r="A11" t="s">
        <v>4</v>
      </c>
      <c r="D11" s="13">
        <v>0.35</v>
      </c>
    </row>
    <row r="12" spans="1:4" ht="12.75">
      <c r="A12" t="s">
        <v>3</v>
      </c>
      <c r="D12" s="13">
        <v>2</v>
      </c>
    </row>
    <row r="13" spans="1:4" ht="12.75">
      <c r="A13" t="s">
        <v>69</v>
      </c>
      <c r="D13" s="13">
        <v>-0.97</v>
      </c>
    </row>
    <row r="14" spans="1:4" ht="12.75">
      <c r="A14" t="s">
        <v>1</v>
      </c>
      <c r="D14" s="13">
        <v>52</v>
      </c>
    </row>
    <row r="15" spans="1:4" ht="12.75">
      <c r="A15" t="s">
        <v>43</v>
      </c>
      <c r="D15" s="13">
        <v>2.5</v>
      </c>
    </row>
    <row r="16" ht="12.75">
      <c r="D16" s="19"/>
    </row>
    <row r="17" spans="1:4" ht="12.75">
      <c r="A17" s="3" t="s">
        <v>93</v>
      </c>
      <c r="B17" s="3"/>
      <c r="D17" s="14"/>
    </row>
    <row r="18" spans="1:4" ht="12.75">
      <c r="A18" t="s">
        <v>66</v>
      </c>
      <c r="D18" s="13">
        <v>0.35</v>
      </c>
    </row>
    <row r="19" spans="1:4" ht="12.75">
      <c r="A19" t="s">
        <v>70</v>
      </c>
      <c r="D19" s="13">
        <v>0.04</v>
      </c>
    </row>
    <row r="20" spans="1:4" ht="12.75">
      <c r="A20" t="s">
        <v>52</v>
      </c>
      <c r="D20" s="13">
        <v>20</v>
      </c>
    </row>
    <row r="22" spans="1:2" ht="12.75">
      <c r="A22" s="3" t="s">
        <v>88</v>
      </c>
      <c r="B22" s="3"/>
    </row>
    <row r="23" spans="1:4" ht="12.75">
      <c r="A23" t="s">
        <v>89</v>
      </c>
      <c r="D23" s="20">
        <v>0.35</v>
      </c>
    </row>
    <row r="25" spans="1:2" ht="15.75">
      <c r="A25" s="1" t="s">
        <v>13</v>
      </c>
      <c r="B25" s="1"/>
    </row>
    <row r="26" spans="1:5" ht="12.75">
      <c r="A26" t="s">
        <v>73</v>
      </c>
      <c r="D26" s="9">
        <f>B61*(B63+(D10-D27)-D11)</f>
        <v>21.261809534270455</v>
      </c>
      <c r="E26" s="11"/>
    </row>
    <row r="27" spans="1:5" ht="12.75">
      <c r="A27" t="s">
        <v>42</v>
      </c>
      <c r="D27" s="9">
        <f>(D8*B60)-B69+B70</f>
        <v>13.504944861040933</v>
      </c>
      <c r="E27" s="11"/>
    </row>
    <row r="28" spans="1:5" ht="12.75">
      <c r="A28" t="s">
        <v>27</v>
      </c>
      <c r="D28" s="9">
        <f>D10-D27</f>
        <v>13.495055138959067</v>
      </c>
      <c r="E28" s="11"/>
    </row>
    <row r="29" spans="1:5" ht="12.75">
      <c r="A29" t="s">
        <v>44</v>
      </c>
      <c r="D29" s="9">
        <f>SQRT(B64^2+D12^2)</f>
        <v>3.248538490965488</v>
      </c>
      <c r="E29" s="11"/>
    </row>
    <row r="30" spans="1:5" ht="12.75">
      <c r="A30" t="s">
        <v>76</v>
      </c>
      <c r="D30" s="9">
        <f>2*SQRT(D26^2-(D26-D29)^2)</f>
        <v>22.59084867746449</v>
      </c>
      <c r="E30" s="11"/>
    </row>
    <row r="31" spans="1:4" ht="12.75">
      <c r="A31" t="s">
        <v>97</v>
      </c>
      <c r="D31" s="9">
        <f>D10+D13*B61</f>
        <v>26.23562956900148</v>
      </c>
    </row>
    <row r="32" ht="12.75">
      <c r="D32" s="11"/>
    </row>
    <row r="33" ht="12.75">
      <c r="A33" s="3" t="s">
        <v>31</v>
      </c>
    </row>
    <row r="34" spans="1:4" ht="12.75">
      <c r="A34" s="22" t="s">
        <v>92</v>
      </c>
      <c r="B34" s="22"/>
      <c r="C34" s="8" t="s">
        <v>54</v>
      </c>
      <c r="D34" s="9">
        <f>(D15*(25.41/D20))/((2*25.41*B68*PI())/1436)</f>
        <v>1.39754367308986</v>
      </c>
    </row>
    <row r="35" spans="1:4" ht="12.75">
      <c r="A35" t="s">
        <v>91</v>
      </c>
      <c r="C35" s="8" t="s">
        <v>54</v>
      </c>
      <c r="D35" s="9">
        <f>ROUND((D15*60/(((D26*2.541*10*2*PI()/24)/(D23*25.41*PI())))),2)</f>
        <v>29.63</v>
      </c>
    </row>
    <row r="37" spans="1:2" ht="12.75">
      <c r="A37" s="3" t="s">
        <v>26</v>
      </c>
      <c r="B37" s="3"/>
    </row>
    <row r="38" ht="12.75">
      <c r="A38" s="3" t="s">
        <v>96</v>
      </c>
    </row>
    <row r="39" ht="12.75">
      <c r="A39" s="3" t="s">
        <v>61</v>
      </c>
    </row>
    <row r="40" ht="12.75">
      <c r="A40" s="3" t="s">
        <v>71</v>
      </c>
    </row>
    <row r="41" ht="12.75">
      <c r="A41" s="3" t="s">
        <v>67</v>
      </c>
    </row>
    <row r="42" ht="12.75">
      <c r="A42" s="3" t="s">
        <v>40</v>
      </c>
    </row>
    <row r="43" spans="1:3" ht="12.75">
      <c r="A43" s="3" t="s">
        <v>72</v>
      </c>
      <c r="B43" s="3"/>
      <c r="C43" s="3"/>
    </row>
    <row r="44" spans="1:3" ht="12.75">
      <c r="A44" s="3" t="s">
        <v>78</v>
      </c>
      <c r="B44" s="3"/>
      <c r="C44" s="3"/>
    </row>
    <row r="45" spans="1:4" ht="12.75">
      <c r="A45" s="3" t="s">
        <v>98</v>
      </c>
      <c r="D45" s="3"/>
    </row>
    <row r="47" spans="1:3" ht="15.75">
      <c r="A47" s="1" t="s">
        <v>51</v>
      </c>
      <c r="B47" s="1"/>
      <c r="C47" s="1"/>
    </row>
    <row r="48" spans="1:3" ht="15">
      <c r="A48" s="18" t="s">
        <v>82</v>
      </c>
      <c r="B48" s="15"/>
      <c r="C48" s="15"/>
    </row>
    <row r="49" ht="12.75">
      <c r="A49" t="s">
        <v>83</v>
      </c>
    </row>
    <row r="52" ht="15">
      <c r="D52" s="15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  <row r="58" spans="1:2" ht="12.75">
      <c r="A58" s="17"/>
      <c r="B58" s="17"/>
    </row>
    <row r="59" spans="1:2" ht="12.75">
      <c r="A59" s="10" t="s">
        <v>16</v>
      </c>
      <c r="B59" s="10">
        <f>TAN(D14/(180/PI()))</f>
        <v>1.2799416321930785</v>
      </c>
    </row>
    <row r="60" spans="1:2" ht="12.75">
      <c r="A60" s="10" t="s">
        <v>86</v>
      </c>
      <c r="B60" s="10">
        <f>TAN((90-D14)/(180/PI()))</f>
        <v>0.7812856265067174</v>
      </c>
    </row>
    <row r="61" spans="1:2" ht="12.75">
      <c r="A61" s="10" t="s">
        <v>15</v>
      </c>
      <c r="B61" s="10">
        <f>SIN(D14/(180/PI()))</f>
        <v>0.7880107536067219</v>
      </c>
    </row>
    <row r="62" spans="1:2" ht="12.75">
      <c r="A62" s="10" t="s">
        <v>87</v>
      </c>
      <c r="B62" s="10">
        <f>SIN((90-D14)/(180/PI()))</f>
        <v>0.6156614753256583</v>
      </c>
    </row>
    <row r="63" spans="1:2" ht="12.75">
      <c r="A63" s="10" t="s">
        <v>45</v>
      </c>
      <c r="B63" s="10">
        <f>(D8+D9+D12)/B59</f>
        <v>13.836568445433969</v>
      </c>
    </row>
    <row r="64" spans="1:2" ht="12.75">
      <c r="A64" s="10" t="s">
        <v>46</v>
      </c>
      <c r="B64" s="10">
        <f>D12/B60</f>
        <v>2.5598832643861575</v>
      </c>
    </row>
    <row r="65" spans="1:2" ht="12.75">
      <c r="A65" s="10" t="s">
        <v>47</v>
      </c>
      <c r="B65" s="10">
        <f>B63-D27</f>
        <v>0.33162358439303574</v>
      </c>
    </row>
    <row r="66" spans="1:2" ht="12.75">
      <c r="A66" s="10" t="s">
        <v>48</v>
      </c>
      <c r="B66" s="10">
        <f>B64+B65</f>
        <v>2.8915068487791933</v>
      </c>
    </row>
    <row r="67" spans="1:2" ht="12.75">
      <c r="A67" s="10" t="s">
        <v>49</v>
      </c>
      <c r="B67" s="10">
        <f>(D8+D18)*B61</f>
        <v>12.095965067863181</v>
      </c>
    </row>
    <row r="68" spans="1:2" ht="12.75">
      <c r="A68" s="10" t="s">
        <v>50</v>
      </c>
      <c r="B68" s="10">
        <f>(B67+(D10-D27)+D18)*B61</f>
        <v>20.441802882505204</v>
      </c>
    </row>
    <row r="69" spans="1:2" ht="12.75">
      <c r="A69" s="10" t="s">
        <v>55</v>
      </c>
      <c r="B69" s="10">
        <f>D13/B61</f>
        <v>-1.2309476686204015</v>
      </c>
    </row>
    <row r="70" spans="1:2" ht="12.75">
      <c r="A70" s="10" t="s">
        <v>56</v>
      </c>
      <c r="B70" s="10">
        <f>D9/B59</f>
        <v>0.5547127948197694</v>
      </c>
    </row>
    <row r="71" spans="1:2" ht="12.75">
      <c r="A71" s="10" t="s">
        <v>57</v>
      </c>
      <c r="B71" s="10">
        <f>B69-B70</f>
        <v>-1.785660463440171</v>
      </c>
    </row>
    <row r="72" spans="1:2" ht="12.75">
      <c r="A72" s="17"/>
      <c r="B72" s="17"/>
    </row>
    <row r="73" spans="1:2" ht="12.75">
      <c r="A73" s="17"/>
      <c r="B73" s="17"/>
    </row>
    <row r="74" spans="1:2" ht="12.75">
      <c r="A74" s="17"/>
      <c r="B74" s="17"/>
    </row>
    <row r="75" spans="1:2" ht="12.75">
      <c r="A75" s="17"/>
      <c r="B75" s="17"/>
    </row>
    <row r="76" spans="1:2" ht="12.75">
      <c r="A76" s="17"/>
      <c r="B76" s="17"/>
    </row>
    <row r="77" spans="1:2" ht="12.75">
      <c r="A77" s="17"/>
      <c r="B77" s="17"/>
    </row>
    <row r="78" spans="1:2" ht="12.75">
      <c r="A78" s="17"/>
      <c r="B78" s="17"/>
    </row>
    <row r="79" spans="1:2" ht="12.75">
      <c r="A79" s="17"/>
      <c r="B79" s="17"/>
    </row>
    <row r="80" spans="1:2" ht="12.75">
      <c r="A80" s="17"/>
      <c r="B80" s="17"/>
    </row>
    <row r="81" spans="1:2" ht="12.75">
      <c r="A81" s="17"/>
      <c r="B81" s="17"/>
    </row>
    <row r="82" spans="1:2" ht="12.75">
      <c r="A82" s="17"/>
      <c r="B82" s="17"/>
    </row>
  </sheetData>
  <sheetProtection password="C12D" sheet="1" objects="1" scenarios="1"/>
  <hyperlinks>
    <hyperlink ref="A48" r:id="rId1" display="http://members.ziggo.nl/jhm.vangastel/Astronomy/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TurboCAD2D.Drawing" shapeId="191572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7">
      <selection activeCell="O25" sqref="O25"/>
    </sheetView>
  </sheetViews>
  <sheetFormatPr defaultColWidth="9.140625" defaultRowHeight="12.75"/>
  <cols>
    <col min="3" max="3" width="28.8515625" style="0" customWidth="1"/>
  </cols>
  <sheetData>
    <row r="1" ht="18">
      <c r="A1" s="12" t="s">
        <v>65</v>
      </c>
    </row>
    <row r="2" ht="12.75">
      <c r="A2" s="3" t="s">
        <v>63</v>
      </c>
    </row>
    <row r="4" spans="1:11" ht="12.75">
      <c r="A4" s="16" t="s">
        <v>74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4" ht="12.75">
      <c r="A6" s="5" t="s">
        <v>53</v>
      </c>
      <c r="B6" s="3"/>
      <c r="C6" s="3"/>
      <c r="D6" s="3"/>
    </row>
    <row r="7" spans="1:2" ht="15.75">
      <c r="A7" s="1" t="s">
        <v>0</v>
      </c>
      <c r="B7" s="1"/>
    </row>
    <row r="8" spans="1:4" ht="12.75">
      <c r="A8" t="s">
        <v>81</v>
      </c>
      <c r="D8" s="13">
        <v>15</v>
      </c>
    </row>
    <row r="9" spans="1:4" ht="12.75">
      <c r="A9" t="s">
        <v>59</v>
      </c>
      <c r="D9" s="13">
        <v>0.71</v>
      </c>
    </row>
    <row r="10" spans="1:4" ht="12.75">
      <c r="A10" t="s">
        <v>60</v>
      </c>
      <c r="D10" s="13">
        <v>27</v>
      </c>
    </row>
    <row r="11" spans="1:4" ht="12.75">
      <c r="A11" t="s">
        <v>4</v>
      </c>
      <c r="D11" s="13">
        <v>0.35</v>
      </c>
    </row>
    <row r="12" spans="1:4" ht="12.75">
      <c r="A12" t="s">
        <v>3</v>
      </c>
      <c r="D12" s="13">
        <v>2</v>
      </c>
    </row>
    <row r="13" spans="1:4" ht="12.75">
      <c r="A13" t="s">
        <v>42</v>
      </c>
      <c r="D13" s="13">
        <f>0.5*D10</f>
        <v>13.5</v>
      </c>
    </row>
    <row r="14" spans="1:4" ht="12.75">
      <c r="A14" t="s">
        <v>1</v>
      </c>
      <c r="D14" s="13">
        <v>52</v>
      </c>
    </row>
    <row r="15" spans="1:4" ht="12.75">
      <c r="A15" t="s">
        <v>43</v>
      </c>
      <c r="D15" s="13">
        <v>2.5</v>
      </c>
    </row>
    <row r="16" ht="12.75">
      <c r="D16" s="19"/>
    </row>
    <row r="17" spans="1:4" ht="12.75">
      <c r="A17" s="3" t="s">
        <v>93</v>
      </c>
      <c r="B17" s="3"/>
      <c r="C17" s="3"/>
      <c r="D17" s="14"/>
    </row>
    <row r="18" spans="1:4" ht="12.75">
      <c r="A18" t="s">
        <v>66</v>
      </c>
      <c r="D18" s="13">
        <v>0.35</v>
      </c>
    </row>
    <row r="19" spans="1:4" ht="12.75">
      <c r="A19" t="s">
        <v>70</v>
      </c>
      <c r="D19" s="13">
        <v>0.04</v>
      </c>
    </row>
    <row r="20" spans="1:4" ht="12.75">
      <c r="A20" t="s">
        <v>94</v>
      </c>
      <c r="D20" s="13">
        <v>20</v>
      </c>
    </row>
    <row r="22" spans="1:2" ht="12.75">
      <c r="A22" s="3" t="s">
        <v>88</v>
      </c>
      <c r="B22" s="3"/>
    </row>
    <row r="23" spans="1:4" ht="12.75">
      <c r="A23" t="s">
        <v>90</v>
      </c>
      <c r="D23" s="13">
        <v>0.35</v>
      </c>
    </row>
    <row r="25" spans="1:2" ht="15.75">
      <c r="A25" s="1" t="s">
        <v>13</v>
      </c>
      <c r="B25" s="1"/>
    </row>
    <row r="26" spans="1:5" ht="12.75">
      <c r="A26" t="s">
        <v>73</v>
      </c>
      <c r="D26" s="9">
        <f>B60*(B62-D11+(D10-D13))</f>
        <v>21.265706137945802</v>
      </c>
      <c r="E26" s="11"/>
    </row>
    <row r="27" spans="1:5" ht="12.75">
      <c r="A27" t="s">
        <v>62</v>
      </c>
      <c r="D27" s="9">
        <f>(B65*B60)-SQRT(B63^2+D12^2)</f>
        <v>-0.9661033963246553</v>
      </c>
      <c r="E27" s="11"/>
    </row>
    <row r="28" spans="1:5" ht="12.75">
      <c r="A28" t="s">
        <v>44</v>
      </c>
      <c r="D28" s="9">
        <f>SQRT(B63^2+D12^2)</f>
        <v>3.2485384909654877</v>
      </c>
      <c r="E28" s="11"/>
    </row>
    <row r="29" spans="1:5" ht="12.75">
      <c r="A29" t="s">
        <v>76</v>
      </c>
      <c r="D29" s="9">
        <f>2*SQRT(D26^2-(D26-D28)^2)</f>
        <v>22.593089875098674</v>
      </c>
      <c r="E29" s="11"/>
    </row>
    <row r="30" spans="1:4" ht="12.75">
      <c r="A30" t="s">
        <v>27</v>
      </c>
      <c r="D30" s="9">
        <f>D10-D13</f>
        <v>13.5</v>
      </c>
    </row>
    <row r="31" spans="1:4" ht="12.75">
      <c r="A31" t="s">
        <v>97</v>
      </c>
      <c r="D31" s="9">
        <f>D10+D27*B60</f>
        <v>26.238700134600194</v>
      </c>
    </row>
    <row r="33" ht="12.75">
      <c r="A33" s="3" t="s">
        <v>31</v>
      </c>
    </row>
    <row r="34" spans="1:4" ht="12.75">
      <c r="A34" t="s">
        <v>92</v>
      </c>
      <c r="C34" s="8" t="s">
        <v>64</v>
      </c>
      <c r="D34" s="9">
        <f>(D15*(25.41/D20))/((2*25.41*B67*PI())/1436)</f>
        <v>1.3972773249604309</v>
      </c>
    </row>
    <row r="35" spans="1:4" ht="12.75">
      <c r="A35" t="s">
        <v>91</v>
      </c>
      <c r="C35" s="8" t="s">
        <v>64</v>
      </c>
      <c r="D35" s="9">
        <f>ROUND((D15*60/(((D26*2.541*10*2*PI()/24)/(D23*25.41*PI())))),2)</f>
        <v>29.63</v>
      </c>
    </row>
    <row r="37" spans="1:2" ht="12.75">
      <c r="A37" s="3" t="s">
        <v>26</v>
      </c>
      <c r="B37" s="3"/>
    </row>
    <row r="38" ht="12.75">
      <c r="A38" s="3" t="s">
        <v>96</v>
      </c>
    </row>
    <row r="39" ht="12.75">
      <c r="A39" s="3" t="s">
        <v>61</v>
      </c>
    </row>
    <row r="40" ht="12.75">
      <c r="A40" s="3" t="s">
        <v>71</v>
      </c>
    </row>
    <row r="41" ht="12.75">
      <c r="A41" s="3" t="s">
        <v>67</v>
      </c>
    </row>
    <row r="42" ht="12.75">
      <c r="A42" s="3" t="s">
        <v>40</v>
      </c>
    </row>
    <row r="43" spans="1:3" ht="12.75">
      <c r="A43" s="3" t="s">
        <v>72</v>
      </c>
      <c r="B43" s="3"/>
      <c r="C43" s="3"/>
    </row>
    <row r="44" spans="1:3" ht="12.75">
      <c r="A44" s="3" t="s">
        <v>78</v>
      </c>
      <c r="B44" s="3"/>
      <c r="C44" s="3"/>
    </row>
    <row r="45" spans="1:4" ht="15.75">
      <c r="A45" s="3" t="s">
        <v>98</v>
      </c>
      <c r="D45" s="1"/>
    </row>
    <row r="46" ht="15">
      <c r="D46" s="15"/>
    </row>
    <row r="47" spans="1:3" ht="15.75">
      <c r="A47" s="1" t="s">
        <v>51</v>
      </c>
      <c r="B47" s="1"/>
      <c r="C47" s="1"/>
    </row>
    <row r="48" spans="1:3" ht="15">
      <c r="A48" s="18" t="s">
        <v>82</v>
      </c>
      <c r="B48" s="15"/>
      <c r="C48" s="15"/>
    </row>
    <row r="49" ht="12.75">
      <c r="A49" t="s">
        <v>83</v>
      </c>
    </row>
    <row r="50" spans="1:2" ht="12.75">
      <c r="A50" s="17"/>
      <c r="B50" s="17"/>
    </row>
    <row r="51" spans="1:2" ht="12.75">
      <c r="A51" s="17"/>
      <c r="B51" s="17"/>
    </row>
    <row r="52" spans="1:2" ht="12.75">
      <c r="A52" s="17"/>
      <c r="B52" s="17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  <row r="58" spans="1:2" ht="12.75">
      <c r="A58" s="10" t="s">
        <v>16</v>
      </c>
      <c r="B58" s="10">
        <f>TAN(D14/(180/PI()))</f>
        <v>1.2799416321930785</v>
      </c>
    </row>
    <row r="59" spans="1:2" ht="12.75">
      <c r="A59" s="10" t="s">
        <v>86</v>
      </c>
      <c r="B59" s="10">
        <f>TAN((90-D14)/(180/PI()))</f>
        <v>0.7812856265067174</v>
      </c>
    </row>
    <row r="60" spans="1:2" ht="12.75">
      <c r="A60" s="10" t="s">
        <v>15</v>
      </c>
      <c r="B60" s="10">
        <f>SIN(D14/(180/PI()))</f>
        <v>0.7880107536067219</v>
      </c>
    </row>
    <row r="61" spans="1:2" ht="12.75">
      <c r="A61" s="10" t="s">
        <v>87</v>
      </c>
      <c r="B61" s="10">
        <f>SIN((90-D14)/(180/PI()))</f>
        <v>0.6156614753256583</v>
      </c>
    </row>
    <row r="62" spans="1:2" ht="12.75">
      <c r="A62" s="10" t="s">
        <v>45</v>
      </c>
      <c r="B62" s="10">
        <f>(D8+D9+D12)*B59</f>
        <v>13.836568445433965</v>
      </c>
    </row>
    <row r="63" spans="1:2" ht="12.75">
      <c r="A63" s="10" t="s">
        <v>46</v>
      </c>
      <c r="B63" s="10">
        <f>D12*B58</f>
        <v>2.559883264386157</v>
      </c>
    </row>
    <row r="64" spans="1:2" ht="12.75">
      <c r="A64" s="10" t="s">
        <v>47</v>
      </c>
      <c r="B64" s="10">
        <f>B62-D13</f>
        <v>0.336568445433965</v>
      </c>
    </row>
    <row r="65" spans="1:2" ht="12.75">
      <c r="A65" s="10" t="s">
        <v>48</v>
      </c>
      <c r="B65" s="10">
        <f>B63+B64</f>
        <v>2.896451709820122</v>
      </c>
    </row>
    <row r="66" spans="1:2" ht="12.75">
      <c r="A66" s="10" t="s">
        <v>49</v>
      </c>
      <c r="B66" s="10">
        <f>(D8+D18)*B60</f>
        <v>12.095965067863181</v>
      </c>
    </row>
    <row r="67" spans="1:2" ht="12.75">
      <c r="A67" s="10" t="s">
        <v>50</v>
      </c>
      <c r="B67" s="10">
        <f>(B66+(D10-D13)+D18)*B60</f>
        <v>20.44569948618055</v>
      </c>
    </row>
    <row r="68" spans="1:2" ht="12.75">
      <c r="A68" s="17"/>
      <c r="B68" s="17"/>
    </row>
    <row r="69" spans="1:2" ht="12.75">
      <c r="A69" s="17"/>
      <c r="B69" s="17"/>
    </row>
    <row r="70" spans="1:2" ht="12.75">
      <c r="A70" s="17"/>
      <c r="B70" s="17"/>
    </row>
    <row r="71" spans="1:2" ht="12.75">
      <c r="A71" s="17"/>
      <c r="B71" s="17"/>
    </row>
    <row r="72" spans="1:2" ht="12.75">
      <c r="A72" s="17"/>
      <c r="B72" s="17"/>
    </row>
    <row r="73" spans="1:2" ht="12.75">
      <c r="A73" s="17"/>
      <c r="B73" s="17"/>
    </row>
    <row r="74" spans="1:2" ht="12.75">
      <c r="A74" s="17"/>
      <c r="B74" s="17"/>
    </row>
    <row r="75" spans="1:2" ht="12.75">
      <c r="A75" s="17"/>
      <c r="B75" s="17"/>
    </row>
    <row r="76" spans="1:2" ht="12.75">
      <c r="A76" s="17"/>
      <c r="B76" s="17"/>
    </row>
  </sheetData>
  <sheetProtection password="C12D" sheet="1" objects="1" scenarios="1"/>
  <hyperlinks>
    <hyperlink ref="A48" r:id="rId1" display="http://members.ziggo.nl/jhm.vangastel/Astronomy/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TurboCAD2D.Drawing" shapeId="19064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Gastel</dc:creator>
  <cp:keywords/>
  <dc:description/>
  <cp:lastModifiedBy>Jan van Gastel</cp:lastModifiedBy>
  <dcterms:created xsi:type="dcterms:W3CDTF">2007-10-04T16:52:04Z</dcterms:created>
  <dcterms:modified xsi:type="dcterms:W3CDTF">2009-09-06T08:05:40Z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